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C899" lockStructure="1"/>
  <bookViews>
    <workbookView xWindow="480" yWindow="75" windowWidth="25320" windowHeight="12075"/>
  </bookViews>
  <sheets>
    <sheet name="Instructions" sheetId="4" r:id="rId1"/>
    <sheet name="Calculations" sheetId="1" r:id="rId2"/>
    <sheet name="Worked example" sheetId="2" r:id="rId3"/>
  </sheets>
  <definedNames>
    <definedName name="_xlnm.Print_Area" localSheetId="1">Calculations!$A$1:$J$100</definedName>
    <definedName name="_xlnm.Print_Area" localSheetId="0">Instructions!$A$1:$K$32</definedName>
    <definedName name="_xlnm.Print_Area" localSheetId="2">'Worked example'!$A$1:$J$101</definedName>
  </definedNames>
  <calcPr calcId="145621"/>
</workbook>
</file>

<file path=xl/calcChain.xml><?xml version="1.0" encoding="utf-8"?>
<calcChain xmlns="http://schemas.openxmlformats.org/spreadsheetml/2006/main">
  <c r="A70" i="2" l="1"/>
  <c r="A69" i="2"/>
  <c r="A67" i="2"/>
  <c r="A65" i="2"/>
  <c r="A64" i="2"/>
  <c r="A61" i="2"/>
  <c r="BA71" i="1" l="1"/>
  <c r="AZ59" i="1"/>
  <c r="AR64" i="1" l="1"/>
  <c r="AX64" i="1" s="1"/>
  <c r="AR63" i="1"/>
  <c r="AW63" i="1" s="1"/>
  <c r="AR62" i="1"/>
  <c r="AX62" i="1" s="1"/>
  <c r="AR61" i="1"/>
  <c r="AW61" i="1" s="1"/>
  <c r="AR60" i="1"/>
  <c r="AX60" i="1" s="1"/>
  <c r="AR59" i="1"/>
  <c r="AW59" i="1" s="1"/>
  <c r="M55" i="2"/>
  <c r="L55" i="2"/>
  <c r="AW64" i="1" l="1"/>
  <c r="AW62" i="1"/>
  <c r="AW60" i="1"/>
  <c r="AX59" i="1"/>
  <c r="AX61" i="1"/>
  <c r="AX63" i="1"/>
  <c r="B16" i="2"/>
  <c r="H16" i="2" s="1"/>
  <c r="H61" i="2" s="1"/>
  <c r="B17" i="2"/>
  <c r="B62" i="2" s="1"/>
  <c r="B44" i="2"/>
  <c r="B45" i="2" s="1"/>
  <c r="B40" i="2"/>
  <c r="F40" i="2" s="1"/>
  <c r="F68" i="2" s="1"/>
  <c r="B37" i="2"/>
  <c r="B39" i="2" s="1"/>
  <c r="B30" i="2"/>
  <c r="B66" i="2" s="1"/>
  <c r="B18" i="2"/>
  <c r="F18" i="2" s="1"/>
  <c r="F63" i="2" s="1"/>
  <c r="N53" i="1"/>
  <c r="M53" i="1"/>
  <c r="B53" i="1" s="1"/>
  <c r="AQ66" i="2"/>
  <c r="AW66" i="2" s="1"/>
  <c r="AQ65" i="2"/>
  <c r="AW65" i="2" s="1"/>
  <c r="AQ64" i="2"/>
  <c r="AW64" i="2" s="1"/>
  <c r="AQ63" i="2"/>
  <c r="AW63" i="2" s="1"/>
  <c r="AQ62" i="2"/>
  <c r="AW62" i="2" s="1"/>
  <c r="AQ61" i="2"/>
  <c r="AV61" i="2" s="1"/>
  <c r="C55" i="2"/>
  <c r="C73" i="2" s="1"/>
  <c r="B55" i="2"/>
  <c r="B73" i="2" s="1"/>
  <c r="I51" i="2"/>
  <c r="I70" i="2" s="1"/>
  <c r="G51" i="2"/>
  <c r="G70" i="2" s="1"/>
  <c r="I46" i="2"/>
  <c r="I69" i="2" s="1"/>
  <c r="G46" i="2"/>
  <c r="G69" i="2" s="1"/>
  <c r="C44" i="2"/>
  <c r="C46" i="2" s="1"/>
  <c r="C69" i="2" s="1"/>
  <c r="AG65" i="2" s="1"/>
  <c r="AN65" i="2" s="1"/>
  <c r="G40" i="2"/>
  <c r="G68" i="2" s="1"/>
  <c r="C40" i="2"/>
  <c r="C68" i="2" s="1"/>
  <c r="I39" i="2"/>
  <c r="I67" i="2" s="1"/>
  <c r="G39" i="2"/>
  <c r="G67" i="2" s="1"/>
  <c r="C37" i="2"/>
  <c r="C39" i="2" s="1"/>
  <c r="C67" i="2" s="1"/>
  <c r="AG64" i="2" s="1"/>
  <c r="AN64" i="2" s="1"/>
  <c r="AU64" i="2" s="1"/>
  <c r="G33" i="2"/>
  <c r="G66" i="2" s="1"/>
  <c r="I32" i="2"/>
  <c r="I65" i="2" s="1"/>
  <c r="G32" i="2"/>
  <c r="G65" i="2" s="1"/>
  <c r="C32" i="2"/>
  <c r="C65" i="2" s="1"/>
  <c r="AG63" i="2" s="1"/>
  <c r="AN63" i="2" s="1"/>
  <c r="B32" i="2"/>
  <c r="B65" i="2" s="1"/>
  <c r="AF63" i="2" s="1"/>
  <c r="AM63" i="2" s="1"/>
  <c r="C30" i="2"/>
  <c r="C33" i="2" s="1"/>
  <c r="C66" i="2" s="1"/>
  <c r="I25" i="2"/>
  <c r="I64" i="2" s="1"/>
  <c r="G25" i="2"/>
  <c r="G64" i="2" s="1"/>
  <c r="C25" i="2"/>
  <c r="C64" i="2" s="1"/>
  <c r="AG62" i="2" s="1"/>
  <c r="AN62" i="2" s="1"/>
  <c r="B25" i="2"/>
  <c r="B64" i="2" s="1"/>
  <c r="AF62" i="2" s="1"/>
  <c r="AM62" i="2" s="1"/>
  <c r="AT62" i="2" s="1"/>
  <c r="G18" i="2"/>
  <c r="G63" i="2" s="1"/>
  <c r="C18" i="2"/>
  <c r="C63" i="2" s="1"/>
  <c r="C17" i="2"/>
  <c r="C62" i="2" s="1"/>
  <c r="C16" i="2"/>
  <c r="C61" i="2" s="1"/>
  <c r="AG61" i="2" s="1"/>
  <c r="AN61" i="2" s="1"/>
  <c r="B68" i="2" l="1"/>
  <c r="F32" i="2"/>
  <c r="F65" i="2" s="1"/>
  <c r="B50" i="2"/>
  <c r="B51" i="2" s="1"/>
  <c r="AT63" i="2"/>
  <c r="B31" i="2"/>
  <c r="AU63" i="2"/>
  <c r="F33" i="2"/>
  <c r="F66" i="2" s="1"/>
  <c r="B38" i="2"/>
  <c r="B67" i="2"/>
  <c r="AF64" i="2" s="1"/>
  <c r="AM64" i="2" s="1"/>
  <c r="AT64" i="2" s="1"/>
  <c r="H39" i="2"/>
  <c r="H67" i="2" s="1"/>
  <c r="F39" i="2"/>
  <c r="F67" i="2" s="1"/>
  <c r="H32" i="2"/>
  <c r="H65" i="2" s="1"/>
  <c r="H25" i="2"/>
  <c r="H64" i="2" s="1"/>
  <c r="F25" i="2"/>
  <c r="F64" i="2" s="1"/>
  <c r="AU62" i="2"/>
  <c r="G53" i="2"/>
  <c r="G71" i="2" s="1"/>
  <c r="AV62" i="2"/>
  <c r="F16" i="2"/>
  <c r="I17" i="2"/>
  <c r="I62" i="2" s="1"/>
  <c r="AU65" i="2"/>
  <c r="B61" i="2"/>
  <c r="AF61" i="2" s="1"/>
  <c r="AM61" i="2" s="1"/>
  <c r="AT61" i="2" s="1"/>
  <c r="B63" i="2"/>
  <c r="C53" i="1"/>
  <c r="C71" i="1" s="1"/>
  <c r="AU61" i="2"/>
  <c r="C31" i="2"/>
  <c r="AV66" i="2"/>
  <c r="C45" i="2"/>
  <c r="C38" i="2"/>
  <c r="B46" i="2"/>
  <c r="C50" i="2"/>
  <c r="AW61" i="2"/>
  <c r="I16" i="2"/>
  <c r="I61" i="2" s="1"/>
  <c r="H17" i="2"/>
  <c r="H62" i="2" s="1"/>
  <c r="AV63" i="2"/>
  <c r="AV64" i="2"/>
  <c r="AV65" i="2"/>
  <c r="G16" i="2"/>
  <c r="A68" i="1"/>
  <c r="A67" i="1"/>
  <c r="A65" i="1"/>
  <c r="A63" i="1"/>
  <c r="A62" i="1"/>
  <c r="A59" i="1"/>
  <c r="B71" i="1"/>
  <c r="C42" i="1"/>
  <c r="C44" i="1" s="1"/>
  <c r="C67" i="1" s="1"/>
  <c r="AH63" i="1" s="1"/>
  <c r="AO63" i="1" s="1"/>
  <c r="B42" i="1"/>
  <c r="B44" i="1" s="1"/>
  <c r="B67" i="1" s="1"/>
  <c r="AG63" i="1" s="1"/>
  <c r="AN63" i="1" s="1"/>
  <c r="C38" i="1"/>
  <c r="C66" i="1" s="1"/>
  <c r="B38" i="1"/>
  <c r="B66" i="1" s="1"/>
  <c r="G37" i="1"/>
  <c r="G65" i="1" s="1"/>
  <c r="C35" i="1"/>
  <c r="C37" i="1" s="1"/>
  <c r="C65" i="1" s="1"/>
  <c r="AH62" i="1" s="1"/>
  <c r="AO62" i="1" s="1"/>
  <c r="B35" i="1"/>
  <c r="B37" i="1" s="1"/>
  <c r="B65" i="1" s="1"/>
  <c r="AG62" i="1" s="1"/>
  <c r="AN62" i="1" s="1"/>
  <c r="C30" i="1"/>
  <c r="C63" i="1" s="1"/>
  <c r="AH61" i="1" s="1"/>
  <c r="AO61" i="1" s="1"/>
  <c r="B30" i="1"/>
  <c r="B63" i="1" s="1"/>
  <c r="AG61" i="1" s="1"/>
  <c r="AN61" i="1" s="1"/>
  <c r="B29" i="1"/>
  <c r="C28" i="1"/>
  <c r="C31" i="1" s="1"/>
  <c r="C64" i="1" s="1"/>
  <c r="B28" i="1"/>
  <c r="B31" i="1" s="1"/>
  <c r="B64" i="1" s="1"/>
  <c r="C23" i="1"/>
  <c r="C62" i="1" s="1"/>
  <c r="AH60" i="1" s="1"/>
  <c r="AO60" i="1" s="1"/>
  <c r="B23" i="1"/>
  <c r="B62" i="1" s="1"/>
  <c r="AG60" i="1" s="1"/>
  <c r="AN60" i="1" s="1"/>
  <c r="C16" i="1"/>
  <c r="C48" i="1" s="1"/>
  <c r="C49" i="1" s="1"/>
  <c r="C68" i="1" s="1"/>
  <c r="AH64" i="1" s="1"/>
  <c r="AO64" i="1" s="1"/>
  <c r="B16" i="1"/>
  <c r="B48" i="1" s="1"/>
  <c r="B49" i="1" s="1"/>
  <c r="B68" i="1" s="1"/>
  <c r="AG64" i="1" s="1"/>
  <c r="AN64" i="1" s="1"/>
  <c r="C15" i="1"/>
  <c r="C60" i="1" s="1"/>
  <c r="B15" i="1"/>
  <c r="B60" i="1" s="1"/>
  <c r="C14" i="1"/>
  <c r="C59" i="1" s="1"/>
  <c r="AH59" i="1" s="1"/>
  <c r="AO59" i="1" s="1"/>
  <c r="B14" i="1"/>
  <c r="B59" i="1" s="1"/>
  <c r="AG59" i="1" s="1"/>
  <c r="AN59" i="1" s="1"/>
  <c r="AU59" i="1" l="1"/>
  <c r="BA59" i="1"/>
  <c r="AV59" i="1"/>
  <c r="BA65" i="1"/>
  <c r="AU64" i="1"/>
  <c r="BA64" i="1"/>
  <c r="AV61" i="1"/>
  <c r="BA67" i="1"/>
  <c r="AV64" i="1"/>
  <c r="BA70" i="1"/>
  <c r="AU62" i="1"/>
  <c r="BA62" i="1"/>
  <c r="AU60" i="1"/>
  <c r="BA60" i="1"/>
  <c r="AV62" i="1"/>
  <c r="BA68" i="1"/>
  <c r="AU63" i="1"/>
  <c r="BA63" i="1"/>
  <c r="AV60" i="1"/>
  <c r="BA66" i="1"/>
  <c r="AU61" i="1"/>
  <c r="BA61" i="1"/>
  <c r="AV63" i="1"/>
  <c r="BA69" i="1"/>
  <c r="C51" i="2"/>
  <c r="C70" i="2" s="1"/>
  <c r="AG66" i="2" s="1"/>
  <c r="AN66" i="2" s="1"/>
  <c r="AU66" i="2" s="1"/>
  <c r="C29" i="1"/>
  <c r="G49" i="1"/>
  <c r="G68" i="1" s="1"/>
  <c r="G38" i="1"/>
  <c r="G66" i="1" s="1"/>
  <c r="I49" i="1"/>
  <c r="I68" i="1" s="1"/>
  <c r="F49" i="1"/>
  <c r="F68" i="1" s="1"/>
  <c r="H49" i="1"/>
  <c r="H68" i="1" s="1"/>
  <c r="I44" i="1"/>
  <c r="I67" i="1" s="1"/>
  <c r="G44" i="1"/>
  <c r="G67" i="1" s="1"/>
  <c r="F44" i="1"/>
  <c r="F67" i="1" s="1"/>
  <c r="H44" i="1"/>
  <c r="H67" i="1" s="1"/>
  <c r="I37" i="1"/>
  <c r="I65" i="1" s="1"/>
  <c r="F37" i="1"/>
  <c r="F65" i="1" s="1"/>
  <c r="H37" i="1"/>
  <c r="H65" i="1" s="1"/>
  <c r="F38" i="1"/>
  <c r="F66" i="1" s="1"/>
  <c r="G31" i="1"/>
  <c r="G64" i="1" s="1"/>
  <c r="G30" i="1"/>
  <c r="G63" i="1" s="1"/>
  <c r="I30" i="1"/>
  <c r="I63" i="1" s="1"/>
  <c r="F30" i="1"/>
  <c r="F63" i="1" s="1"/>
  <c r="H30" i="1"/>
  <c r="H63" i="1" s="1"/>
  <c r="I23" i="1"/>
  <c r="I62" i="1" s="1"/>
  <c r="G23" i="1"/>
  <c r="G62" i="1" s="1"/>
  <c r="F23" i="1"/>
  <c r="F62" i="1" s="1"/>
  <c r="H23" i="1"/>
  <c r="H62" i="1" s="1"/>
  <c r="G16" i="1"/>
  <c r="G61" i="1" s="1"/>
  <c r="F16" i="1"/>
  <c r="F61" i="1" s="1"/>
  <c r="B70" i="2"/>
  <c r="AF66" i="2" s="1"/>
  <c r="AM66" i="2" s="1"/>
  <c r="AT66" i="2" s="1"/>
  <c r="F51" i="2"/>
  <c r="F70" i="2" s="1"/>
  <c r="H51" i="2"/>
  <c r="H70" i="2" s="1"/>
  <c r="B69" i="2"/>
  <c r="AF65" i="2" s="1"/>
  <c r="AM65" i="2" s="1"/>
  <c r="AT65" i="2" s="1"/>
  <c r="F46" i="2"/>
  <c r="F69" i="2" s="1"/>
  <c r="H46" i="2"/>
  <c r="H69" i="2" s="1"/>
  <c r="F61" i="2"/>
  <c r="G61" i="2"/>
  <c r="M53" i="2"/>
  <c r="B43" i="1"/>
  <c r="F31" i="1" s="1"/>
  <c r="F64" i="1" s="1"/>
  <c r="H15" i="1"/>
  <c r="H60" i="1" s="1"/>
  <c r="F14" i="1"/>
  <c r="C43" i="1"/>
  <c r="H14" i="1"/>
  <c r="H59" i="1" s="1"/>
  <c r="I15" i="1"/>
  <c r="I60" i="1" s="1"/>
  <c r="B61" i="1"/>
  <c r="I14" i="1"/>
  <c r="I59" i="1" s="1"/>
  <c r="G14" i="1"/>
  <c r="B36" i="1"/>
  <c r="C61" i="1"/>
  <c r="C36" i="1"/>
  <c r="N51" i="1" l="1"/>
  <c r="G51" i="1" s="1"/>
  <c r="G69" i="1" s="1"/>
  <c r="L53" i="2"/>
  <c r="F53" i="2" s="1"/>
  <c r="F71" i="2" s="1"/>
  <c r="F59" i="1"/>
  <c r="M51" i="1"/>
  <c r="F51" i="1" s="1"/>
  <c r="F69" i="1" s="1"/>
  <c r="G59" i="1"/>
</calcChain>
</file>

<file path=xl/sharedStrings.xml><?xml version="1.0" encoding="utf-8"?>
<sst xmlns="http://schemas.openxmlformats.org/spreadsheetml/2006/main" count="441" uniqueCount="170">
  <si>
    <t>Purpose</t>
  </si>
  <si>
    <t>http://www.tec.govt.nz/Learners-Organisations/Private-Training-Establishments-PTEs/Requirements/New-PTE-Financial-Viability-requirements/</t>
  </si>
  <si>
    <t>How to use the file</t>
  </si>
  <si>
    <t>General comment</t>
  </si>
  <si>
    <t>Worked example</t>
  </si>
  <si>
    <t>2%+</t>
  </si>
  <si>
    <t>Not specified</t>
  </si>
  <si>
    <t>60%+</t>
  </si>
  <si>
    <t>NA</t>
  </si>
  <si>
    <t>Liquid assets</t>
  </si>
  <si>
    <t>Funds invested with a group central treasury facility approved by the TEC</t>
  </si>
  <si>
    <t>8%+</t>
  </si>
  <si>
    <t>100%+</t>
  </si>
  <si>
    <t>No working capital deficit</t>
  </si>
  <si>
    <t>NCF operations&gt; any W.C deficit</t>
  </si>
  <si>
    <t>4 Profitability</t>
  </si>
  <si>
    <t>Any losses should not exceed 8% of total revenue</t>
  </si>
  <si>
    <t>3%+</t>
  </si>
  <si>
    <t>Any losses should not exceed 30% of total equity</t>
  </si>
  <si>
    <t>5 Net Cashflows</t>
  </si>
  <si>
    <t>Annual cash inflow from operations</t>
  </si>
  <si>
    <t>Annual cash outflow from operations</t>
  </si>
  <si>
    <t>111%+</t>
  </si>
  <si>
    <t>6 Debt levels</t>
  </si>
  <si>
    <t>&lt;50%</t>
  </si>
  <si>
    <t>&lt;33%</t>
  </si>
  <si>
    <t>All green input fields for a given year must be entered before the file will calculate correctly.</t>
  </si>
  <si>
    <t xml:space="preserve">         The PTE's results</t>
  </si>
  <si>
    <t xml:space="preserve">             Benchmarks</t>
  </si>
  <si>
    <t>PASS/FAIL</t>
  </si>
  <si>
    <t>Indicator</t>
  </si>
  <si>
    <t>Result Latest</t>
  </si>
  <si>
    <t>Result Forecast</t>
  </si>
  <si>
    <t>Minimum</t>
  </si>
  <si>
    <t>Recommended</t>
  </si>
  <si>
    <t>Spider graph tables</t>
  </si>
  <si>
    <t>Actual</t>
  </si>
  <si>
    <t>Forecast</t>
  </si>
  <si>
    <t>PFS Minimum</t>
  </si>
  <si>
    <t>PFS Recommended</t>
  </si>
  <si>
    <t>Conversion factor to get min as 1</t>
  </si>
  <si>
    <t>1  Net Tangible Assets</t>
  </si>
  <si>
    <t>2 Liquid Assets</t>
  </si>
  <si>
    <t>NTA Amount &gt;$50,000</t>
  </si>
  <si>
    <t>3 Working Capital</t>
  </si>
  <si>
    <t>8-12%</t>
  </si>
  <si>
    <t>NCF ops  &gt; W.C deficit</t>
  </si>
  <si>
    <t>6 Capitalisation</t>
  </si>
  <si>
    <t>&gt;-8%</t>
  </si>
  <si>
    <t>&gt;-30%</t>
  </si>
  <si>
    <t>All green input fields must be entered before table will populate correctly.</t>
  </si>
  <si>
    <t>Information on the PFS and how they apply to PTEs is at</t>
  </si>
  <si>
    <t>Instructions</t>
  </si>
  <si>
    <t>Blue cells are self calculating.</t>
  </si>
  <si>
    <t>The material in this spreadsheet is copy righted and belongs to the TEC. Web site users may use this file but should acknowledge ownership in any external publications.</t>
  </si>
  <si>
    <t>Liquid assets = cash on hand plus readily liquefiable investments (commercial bills, government stock, shares where a ready market exists) less bank overdrafts.</t>
  </si>
  <si>
    <t>Ratio calculated as current assets divided by current liabilities.</t>
  </si>
  <si>
    <t>From the current liability item in the Statement of Financial Position. If there is no item in the accounts place a zero in the input cells.</t>
  </si>
  <si>
    <t>To be used in the calculation the borrowing facility must be committed by the bank. The bank will usually charge extra for a committed facility. Exclude non committed general overdraft facilities.</t>
  </si>
  <si>
    <t>Self calculates from information above. (This field is calculated from the total revenue figures in cell C29 and D29.)</t>
  </si>
  <si>
    <t>This cell only calculates once cells C59 and D59 are entered.</t>
  </si>
  <si>
    <t>If you are have difficulty printing this graph:</t>
  </si>
  <si>
    <t>2 Open Microsoft Word, and under paste options choose picture.</t>
  </si>
  <si>
    <t>3 You should then be able to print from the Word document.</t>
  </si>
  <si>
    <t>All green fields entered check</t>
  </si>
  <si>
    <t>Comments</t>
  </si>
  <si>
    <t>As defined by GAAP. Comes from the Statement of Financial Position.</t>
  </si>
  <si>
    <t>The data is shown below to help demonstrate how the calculations and the following graph operate. It is for illustrative purposes only.</t>
  </si>
  <si>
    <t>Worked example Spider Graph</t>
  </si>
  <si>
    <t>Prepaid student fees i.e. student fees in advance</t>
  </si>
  <si>
    <t>Note:</t>
  </si>
  <si>
    <t>1 Right click while hovering over image, then choose Copy.</t>
  </si>
  <si>
    <t>Spider graph calculation tables</t>
  </si>
  <si>
    <t>PTE results per PFS</t>
  </si>
  <si>
    <t>PTE results converted to fractions.</t>
  </si>
  <si>
    <t>Model created by:  kf 3/2/15.  updated: 14/7/15</t>
  </si>
  <si>
    <t>A928519</t>
  </si>
  <si>
    <t>Version 15/7/15 kf</t>
  </si>
  <si>
    <t>Result</t>
  </si>
  <si>
    <t>Your summary results are presented at cell B58. The results are compared with the minimum and recommended PFS benchmarks.</t>
  </si>
  <si>
    <t>Financial outcomes are the sum of a range of financial decisions.</t>
  </si>
  <si>
    <t>Latest annual results</t>
  </si>
  <si>
    <t>Benchmarks</t>
  </si>
  <si>
    <t>Minimum PFS</t>
  </si>
  <si>
    <t>Recommended PFS</t>
  </si>
  <si>
    <t>Latest results</t>
  </si>
  <si>
    <t>As defined in GAAP.</t>
  </si>
  <si>
    <t xml:space="preserve">To include amounts here TEC written approval is required. To gain approval the PTE must be part of a larger group of companies which operates a central treasury function, the amount invested must be available to the PTE on demand, the related entity must be financially viable, and the group must  have sufficient funds to repay the PTE within 90 days. </t>
  </si>
  <si>
    <t>From the Statement of Cashflows. If this is not available a surrogate figure is total revenue from the Statement of Financial Performance.</t>
  </si>
  <si>
    <t>From the Statement of Cashflows. If this is not available a surrogate figure is total expenses. This field is calculated from the cashflow in cells C40 and D40.)</t>
  </si>
  <si>
    <t>Calculated as cash inflow from operations- cash outflow from operations.</t>
  </si>
  <si>
    <t>Conversion factor to get min PFS as 1</t>
  </si>
  <si>
    <t>Note this version of the spreadsheet caps the values in the third table at 10 for ease of charting.</t>
  </si>
  <si>
    <t>The IF statement will ned to be removed from table 3 to get the true values.</t>
  </si>
  <si>
    <t>Has value max limit been applied ?</t>
  </si>
  <si>
    <t>A conversion factor is calculated to enable actual results to be plotted relative to the recommended levels which are set as 1.</t>
  </si>
  <si>
    <t>PTE results are adjusted by the conversion factor to enable a PTE's relative results to be compared with the recommended standards.</t>
  </si>
  <si>
    <t>Table Three</t>
  </si>
  <si>
    <t>Table Two</t>
  </si>
  <si>
    <t>Table One</t>
  </si>
  <si>
    <t>Notes:</t>
  </si>
  <si>
    <t>Table Four</t>
  </si>
  <si>
    <t>Calculating the TEC prudential financial standards</t>
  </si>
  <si>
    <t>PTEs can use this workbook to calculate whether you meet the TEC prudential financial standard (PFS) financial ratio requirements.</t>
  </si>
  <si>
    <t>The spreadsheet "Worked example" demonstrates how the calculations work.</t>
  </si>
  <si>
    <t>To populate the spreadsheet (at "Calculations") you will need your PTE's latest set of annual accounts and forecasts.</t>
  </si>
  <si>
    <t xml:space="preserve">Enter your PTE's financial information in the green data entry fields (from Cell C8). </t>
  </si>
  <si>
    <t xml:space="preserve">The spider graph at the bottom of the "Calculations" spreadsheet (from Cell A 74 ) illustrates your PTE's relative PFS performance. </t>
  </si>
  <si>
    <t>Columns G and H show  a Pass or Fail for each PFS financial ratio.  These indicate whether the minimum standards are met.</t>
  </si>
  <si>
    <t>We require PTEs to meet all the PFS minimum standards.  A fail in any one indicator will lead to a fail overall.</t>
  </si>
  <si>
    <t>Columns I and J contain PASS or FAIL indicators in terms of the recommended PFS.</t>
  </si>
  <si>
    <t>Our recommended financial ratios are a guide to what we consider to be adequate overall performance from our prudential perspective.  Each PTE should assess its own financial needs and operating parameters.</t>
  </si>
  <si>
    <t>Financial ratios can only provide an overall health check of an organisation. While they are based on observable information from a PTE's accounting information other factors also contribute to financial risk, including management and governance capability, educational performance, strategic planning, and other internal and external environmental factors.</t>
  </si>
  <si>
    <t>Read the "Instructions" spreadsheet, then enter your PTE's financial information in the green data entry fields below (Cell C9 onward) to start to complete the workbook and the calculations.</t>
  </si>
  <si>
    <t>The PTE's results</t>
  </si>
  <si>
    <t>As defined by Generally Accepted Accounting Practice (GAAP). Comes from the Statement of Financial Position. It excludes shareholder current accounts.</t>
  </si>
  <si>
    <t>As defined by GAAP.  It includes such items as goodwill.</t>
  </si>
  <si>
    <t xml:space="preserve">From the Statement of Financial Performance. It includes all sources of revenue, including sales or other items making up Gross Profit. </t>
  </si>
  <si>
    <t>Ratio calculated as liquid assets plus unused committed bank borrowing facilities plus funds advanced to a central treasury function approved by TEC, all divided by annual cash outflow from operations.</t>
  </si>
  <si>
    <t>Ratio calculated as NTA divided by total tangible assets (less pre-paid student fees), where total tangible assets is total assets less intangible assets.</t>
  </si>
  <si>
    <t>Net tangible assets also have to be greater than $50,000.</t>
  </si>
  <si>
    <t>From the Statement of Cashflows.  Where a cashflow statement is not prepared then total cash expenses (all sources) should be used. Exclude non-cash expenses such as depreciation or amortisation and items such as capital expenditure and other expense items not included in the Statement of Financial Performance.</t>
  </si>
  <si>
    <t>The provider only fails the test if it has a working capital deficit and the size of the deficit exceeds what cash can be generated from operations in the year ahead. Formula is (current liabilities-current assets)&lt;NCF operations. If there is a working capital deficit and NCF operations is negative then the provider automatically fails the test. Formula should then be over-ridden as Fail.</t>
  </si>
  <si>
    <t>From the Statement of Financial Performance. (This may not be the same figure as the balance of the Statement of Comprehensive Income which includes other non-operating performance items.)</t>
  </si>
  <si>
    <t>Self calculates from information above. (This field is calculated from the net tangible assets in cell C34s and D34.)</t>
  </si>
  <si>
    <t>Calculated as cash inflow from operations divided by cash outflow from operations.</t>
  </si>
  <si>
    <t>Debt includes all forms of debt/liabilities but excludes trade creditors, tax payable, provisions or liabilities unlikely to result in cash outflow, and student fees paid in advance. Shareholder current accounts or borrowings are treated as debt.</t>
  </si>
  <si>
    <t>Calculated from net tangible assets in cells C34 and D34.</t>
  </si>
  <si>
    <t>Calculating the TEC prudential financial standards (PFS)</t>
  </si>
  <si>
    <t>Minimum PFS PASS/FAIL</t>
  </si>
  <si>
    <t>Recommended PFS PASS/FAIL</t>
  </si>
  <si>
    <t>Financial ratio</t>
  </si>
  <si>
    <t>Input &amp; calculation fields</t>
  </si>
  <si>
    <t>1  Net tangible assets (NTA)</t>
  </si>
  <si>
    <t>Total equity</t>
  </si>
  <si>
    <t>Intangible assets</t>
  </si>
  <si>
    <t>Total revenue</t>
  </si>
  <si>
    <t>Total assets</t>
  </si>
  <si>
    <t>Ratio 1 - NTA/Total revenue</t>
  </si>
  <si>
    <t>Ratio 1b - NTA/Total tangible assets</t>
  </si>
  <si>
    <t>2 Liquid assets</t>
  </si>
  <si>
    <t>Unused portion of committed borrowing facilities with a term to run of more than one year</t>
  </si>
  <si>
    <t>3 Working capital</t>
  </si>
  <si>
    <t>Current assets</t>
  </si>
  <si>
    <t>Current liabilities</t>
  </si>
  <si>
    <t>Working capital (calculation)</t>
  </si>
  <si>
    <t>Annual net cashflows from operations (calculation)</t>
  </si>
  <si>
    <t>Ratio 3 - Current assets/Current liabilities</t>
  </si>
  <si>
    <t xml:space="preserve">Ratio 2 - Liquid assets </t>
  </si>
  <si>
    <t>Net surplus after tax</t>
  </si>
  <si>
    <t>Net tangible assets</t>
  </si>
  <si>
    <t>Ratio 4 - Net surplus after tax/Total revenue</t>
  </si>
  <si>
    <t>Ratio 4b - Net surplus after tax/Total equity</t>
  </si>
  <si>
    <t>5 Net cashflows</t>
  </si>
  <si>
    <t>Net cashflow from operations</t>
  </si>
  <si>
    <t>Ratio 5 - Net Cashflow from operations</t>
  </si>
  <si>
    <t>Total borrowing</t>
  </si>
  <si>
    <t xml:space="preserve">Ratio 6 - Debt equity </t>
  </si>
  <si>
    <t>Overall risk assessment</t>
  </si>
  <si>
    <t>1b Net Tangible Assets/Total tangible assets</t>
  </si>
  <si>
    <t>4b Net surplus after tax/Total equity</t>
  </si>
  <si>
    <t>Your PTE's Spider Graph</t>
  </si>
  <si>
    <t>The graph below shows your PTE's performance relative to the recommended levels for each of the six prudential financial standard ratios.</t>
  </si>
  <si>
    <t>Input</t>
  </si>
  <si>
    <t>3b If working capital deficit</t>
  </si>
  <si>
    <t>Net tangible assets amount</t>
  </si>
  <si>
    <t>Does working capital deficit exist and does it exceed annual net cashflow from operations (NCF)?</t>
  </si>
  <si>
    <t xml:space="preserve">Ratio calculated as NTA divided by total revenue.  </t>
  </si>
  <si>
    <t>Failure of any of the minimum financial ratio tests will lead to an overall fail result. This is because PTEs are expected to meet all the minimum standards.</t>
  </si>
  <si>
    <t>PTE summary information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</si>
</sst>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164" formatCode="#,##0_ ;[Red]\-#,##0\ "/>
    <numFmt numFmtId="165" formatCode="0.0%"/>
  </numFmts>
  <fonts count="13" x14ac:knownFonts="1">
    <font>
      <sz val="11"/>
      <color theme="1"/>
      <name val="Calibri"/>
      <family val="2"/>
      <scheme val="minor"/>
    </font>
    <font>
      <sz val="11"/>
      <color rgb="FFFF0000"/>
      <name val="Calibri"/>
      <family val="2"/>
      <scheme val="minor"/>
    </font>
    <font>
      <b/>
      <sz val="11"/>
      <color theme="1"/>
      <name val="Calibri"/>
      <family val="2"/>
      <scheme val="minor"/>
    </font>
    <font>
      <sz val="10"/>
      <color theme="1"/>
      <name val="Calibri"/>
      <family val="2"/>
      <scheme val="minor"/>
    </font>
    <font>
      <sz val="20"/>
      <color theme="1"/>
      <name val="Calibri"/>
      <family val="2"/>
      <scheme val="minor"/>
    </font>
    <font>
      <sz val="14"/>
      <color theme="1"/>
      <name val="Calibri"/>
      <family val="2"/>
      <scheme val="minor"/>
    </font>
    <font>
      <sz val="12"/>
      <color theme="1"/>
      <name val="Calibri"/>
      <family val="2"/>
      <scheme val="minor"/>
    </font>
    <font>
      <i/>
      <sz val="11"/>
      <color theme="1"/>
      <name val="Calibri"/>
      <family val="2"/>
      <scheme val="minor"/>
    </font>
    <font>
      <sz val="10.5"/>
      <color theme="1"/>
      <name val="Calibri"/>
      <family val="2"/>
      <scheme val="minor"/>
    </font>
    <font>
      <b/>
      <sz val="20"/>
      <color theme="1"/>
      <name val="Calibri"/>
      <family val="2"/>
      <scheme val="minor"/>
    </font>
    <font>
      <b/>
      <sz val="12"/>
      <color theme="1"/>
      <name val="Calibri"/>
      <family val="2"/>
      <scheme val="minor"/>
    </font>
    <font>
      <sz val="12"/>
      <color rgb="FF0070C0"/>
      <name val="Calibri"/>
      <family val="2"/>
      <scheme val="minor"/>
    </font>
    <font>
      <u/>
      <sz val="14"/>
      <color theme="1"/>
      <name val="Calibri"/>
      <family val="2"/>
      <scheme val="minor"/>
    </font>
  </fonts>
  <fills count="14">
    <fill>
      <patternFill patternType="none"/>
    </fill>
    <fill>
      <patternFill patternType="gray125"/>
    </fill>
    <fill>
      <patternFill patternType="solid">
        <fgColor theme="5" tint="0.39997558519241921"/>
        <bgColor indexed="64"/>
      </patternFill>
    </fill>
    <fill>
      <patternFill patternType="solid">
        <fgColor theme="8" tint="0.39997558519241921"/>
        <bgColor indexed="64"/>
      </patternFill>
    </fill>
    <fill>
      <patternFill patternType="solid">
        <fgColor theme="4" tint="0.79998168889431442"/>
        <bgColor indexed="64"/>
      </patternFill>
    </fill>
    <fill>
      <patternFill patternType="solid">
        <fgColor rgb="FF92D050"/>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rgb="FFFFFF00"/>
        <bgColor indexed="64"/>
      </patternFill>
    </fill>
    <fill>
      <patternFill patternType="solid">
        <fgColor theme="7" tint="0.39994506668294322"/>
        <bgColor indexed="64"/>
      </patternFill>
    </fill>
    <fill>
      <patternFill patternType="solid">
        <fgColor theme="6" tint="0.59999389629810485"/>
        <bgColor indexed="64"/>
      </patternFill>
    </fill>
  </fills>
  <borders count="37">
    <border>
      <left/>
      <right/>
      <top/>
      <bottom/>
      <diagonal/>
    </border>
    <border>
      <left/>
      <right style="thin">
        <color auto="1"/>
      </right>
      <top/>
      <bottom/>
      <diagonal/>
    </border>
    <border>
      <left style="thin">
        <color auto="1"/>
      </left>
      <right style="dashed">
        <color auto="1"/>
      </right>
      <top style="thin">
        <color auto="1"/>
      </top>
      <bottom style="dashed">
        <color auto="1"/>
      </bottom>
      <diagonal/>
    </border>
    <border>
      <left style="dashed">
        <color auto="1"/>
      </left>
      <right style="thin">
        <color auto="1"/>
      </right>
      <top style="thin">
        <color auto="1"/>
      </top>
      <bottom style="dashed">
        <color auto="1"/>
      </bottom>
      <diagonal/>
    </border>
    <border>
      <left style="thin">
        <color auto="1"/>
      </left>
      <right style="thin">
        <color auto="1"/>
      </right>
      <top style="thin">
        <color auto="1"/>
      </top>
      <bottom/>
      <diagonal/>
    </border>
    <border>
      <left style="thin">
        <color auto="1"/>
      </left>
      <right/>
      <top/>
      <bottom/>
      <diagonal/>
    </border>
    <border>
      <left style="thin">
        <color auto="1"/>
      </left>
      <right style="dashed">
        <color auto="1"/>
      </right>
      <top style="dashed">
        <color auto="1"/>
      </top>
      <bottom style="dashed">
        <color auto="1"/>
      </bottom>
      <diagonal/>
    </border>
    <border>
      <left style="dashed">
        <color auto="1"/>
      </left>
      <right style="thin">
        <color auto="1"/>
      </right>
      <top style="dashed">
        <color auto="1"/>
      </top>
      <bottom style="dashed">
        <color auto="1"/>
      </bottom>
      <diagonal/>
    </border>
    <border>
      <left style="thin">
        <color auto="1"/>
      </left>
      <right style="thin">
        <color auto="1"/>
      </right>
      <top/>
      <bottom/>
      <diagonal/>
    </border>
    <border>
      <left style="thin">
        <color auto="1"/>
      </left>
      <right style="dashed">
        <color auto="1"/>
      </right>
      <top style="dashed">
        <color auto="1"/>
      </top>
      <bottom/>
      <diagonal/>
    </border>
    <border>
      <left style="dashed">
        <color auto="1"/>
      </left>
      <right style="thin">
        <color auto="1"/>
      </right>
      <top style="dashed">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dotted">
        <color auto="1"/>
      </right>
      <top style="thin">
        <color auto="1"/>
      </top>
      <bottom style="dotted">
        <color auto="1"/>
      </bottom>
      <diagonal/>
    </border>
    <border>
      <left style="thin">
        <color auto="1"/>
      </left>
      <right style="dotted">
        <color auto="1"/>
      </right>
      <top style="dotted">
        <color auto="1"/>
      </top>
      <bottom style="thin">
        <color auto="1"/>
      </bottom>
      <diagonal/>
    </border>
    <border>
      <left style="thin">
        <color auto="1"/>
      </left>
      <right/>
      <top style="thin">
        <color auto="1"/>
      </top>
      <bottom/>
      <diagonal/>
    </border>
    <border>
      <left/>
      <right style="thin">
        <color auto="1"/>
      </right>
      <top/>
      <bottom style="thin">
        <color auto="1"/>
      </bottom>
      <diagonal/>
    </border>
    <border>
      <left style="thin">
        <color auto="1"/>
      </left>
      <right style="dashed">
        <color auto="1"/>
      </right>
      <top style="thin">
        <color auto="1"/>
      </top>
      <bottom style="thin">
        <color auto="1"/>
      </bottom>
      <diagonal/>
    </border>
    <border>
      <left style="dashed">
        <color auto="1"/>
      </left>
      <right style="thin">
        <color auto="1"/>
      </right>
      <top style="thin">
        <color auto="1"/>
      </top>
      <bottom style="thin">
        <color auto="1"/>
      </bottom>
      <diagonal/>
    </border>
    <border>
      <left style="dotted">
        <color auto="1"/>
      </left>
      <right style="dotted">
        <color auto="1"/>
      </right>
      <top style="dotted">
        <color auto="1"/>
      </top>
      <bottom style="dotted">
        <color auto="1"/>
      </bottom>
      <diagonal/>
    </border>
    <border>
      <left/>
      <right style="thin">
        <color auto="1"/>
      </right>
      <top style="thin">
        <color auto="1"/>
      </top>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thin">
        <color auto="1"/>
      </bottom>
      <diagonal/>
    </border>
    <border>
      <left style="thin">
        <color auto="1"/>
      </left>
      <right style="dashed">
        <color auto="1"/>
      </right>
      <top style="thin">
        <color auto="1"/>
      </top>
      <bottom/>
      <diagonal/>
    </border>
    <border>
      <left style="thin">
        <color auto="1"/>
      </left>
      <right style="dashed">
        <color auto="1"/>
      </right>
      <top/>
      <bottom style="dashed">
        <color auto="1"/>
      </bottom>
      <diagonal/>
    </border>
    <border>
      <left style="thin">
        <color auto="1"/>
      </left>
      <right/>
      <top style="thin">
        <color auto="1"/>
      </top>
      <bottom style="dashed">
        <color auto="1"/>
      </bottom>
      <diagonal/>
    </border>
    <border>
      <left style="thin">
        <color auto="1"/>
      </left>
      <right/>
      <top style="dashed">
        <color auto="1"/>
      </top>
      <bottom style="dashed">
        <color auto="1"/>
      </bottom>
      <diagonal/>
    </border>
    <border>
      <left style="thin">
        <color auto="1"/>
      </left>
      <right/>
      <top style="dashed">
        <color auto="1"/>
      </top>
      <bottom style="thin">
        <color auto="1"/>
      </bottom>
      <diagonal/>
    </border>
    <border>
      <left style="dashed">
        <color auto="1"/>
      </left>
      <right style="thin">
        <color auto="1"/>
      </right>
      <top style="dashed">
        <color auto="1"/>
      </top>
      <bottom style="thin">
        <color auto="1"/>
      </bottom>
      <diagonal/>
    </border>
    <border>
      <left/>
      <right/>
      <top style="thin">
        <color auto="1"/>
      </top>
      <bottom/>
      <diagonal/>
    </border>
    <border>
      <left style="dotted">
        <color auto="1"/>
      </left>
      <right style="thin">
        <color auto="1"/>
      </right>
      <top style="thin">
        <color auto="1"/>
      </top>
      <bottom style="dotted">
        <color auto="1"/>
      </bottom>
      <diagonal/>
    </border>
    <border>
      <left style="dotted">
        <color auto="1"/>
      </left>
      <right style="thin">
        <color auto="1"/>
      </right>
      <top style="dotted">
        <color auto="1"/>
      </top>
      <bottom style="thin">
        <color auto="1"/>
      </bottom>
      <diagonal/>
    </border>
  </borders>
  <cellStyleXfs count="1">
    <xf numFmtId="0" fontId="0" fillId="0" borderId="0"/>
  </cellStyleXfs>
  <cellXfs count="221">
    <xf numFmtId="0" fontId="0" fillId="0" borderId="0" xfId="0"/>
    <xf numFmtId="0" fontId="2" fillId="0" borderId="0" xfId="0" applyFont="1"/>
    <xf numFmtId="0" fontId="3" fillId="0" borderId="0" xfId="0" applyFont="1" applyFill="1"/>
    <xf numFmtId="0" fontId="0" fillId="0" borderId="0" xfId="0" applyFont="1"/>
    <xf numFmtId="0" fontId="4" fillId="0" borderId="0" xfId="0" applyFont="1"/>
    <xf numFmtId="0" fontId="0" fillId="0" borderId="1" xfId="0" applyBorder="1"/>
    <xf numFmtId="0" fontId="0" fillId="4" borderId="0" xfId="0" applyFill="1" applyBorder="1" applyAlignment="1">
      <alignment wrapText="1"/>
    </xf>
    <xf numFmtId="3" fontId="0" fillId="5" borderId="2" xfId="0" applyNumberFormat="1" applyFill="1" applyBorder="1" applyAlignment="1" applyProtection="1">
      <alignment horizontal="center" vertical="center" wrapText="1"/>
      <protection locked="0"/>
    </xf>
    <xf numFmtId="3" fontId="0" fillId="5" borderId="3" xfId="0" applyNumberFormat="1" applyFill="1" applyBorder="1" applyAlignment="1" applyProtection="1">
      <alignment horizontal="center" vertical="center" wrapText="1"/>
      <protection locked="0"/>
    </xf>
    <xf numFmtId="0" fontId="0" fillId="0" borderId="0" xfId="0" applyFill="1" applyBorder="1" applyAlignment="1">
      <alignment horizontal="center" vertical="center" wrapText="1"/>
    </xf>
    <xf numFmtId="0" fontId="0" fillId="0" borderId="1" xfId="0" applyFill="1" applyBorder="1" applyAlignment="1">
      <alignment horizontal="center" vertical="center" wrapText="1"/>
    </xf>
    <xf numFmtId="3" fontId="0" fillId="5" borderId="6" xfId="0" applyNumberFormat="1" applyFill="1" applyBorder="1" applyAlignment="1" applyProtection="1">
      <alignment horizontal="center" vertical="center" wrapText="1"/>
      <protection locked="0"/>
    </xf>
    <xf numFmtId="3" fontId="0" fillId="5" borderId="7" xfId="0" applyNumberFormat="1" applyFill="1" applyBorder="1" applyAlignment="1" applyProtection="1">
      <alignment horizontal="center" vertical="center" wrapText="1"/>
      <protection locked="0"/>
    </xf>
    <xf numFmtId="0" fontId="0" fillId="0" borderId="0" xfId="0" applyFill="1" applyAlignment="1">
      <alignment horizontal="center" vertical="center" wrapText="1"/>
    </xf>
    <xf numFmtId="164" fontId="0" fillId="5" borderId="6" xfId="0" applyNumberFormat="1" applyFill="1" applyBorder="1" applyAlignment="1" applyProtection="1">
      <alignment horizontal="center" vertical="center" wrapText="1"/>
      <protection locked="0"/>
    </xf>
    <xf numFmtId="164" fontId="0" fillId="5" borderId="7" xfId="0" applyNumberFormat="1" applyFill="1" applyBorder="1" applyAlignment="1" applyProtection="1">
      <alignment horizontal="center" vertical="center" wrapText="1"/>
      <protection locked="0"/>
    </xf>
    <xf numFmtId="164" fontId="0" fillId="6" borderId="8" xfId="0" applyNumberFormat="1" applyFill="1" applyBorder="1" applyAlignment="1">
      <alignment horizontal="right" vertical="center" wrapText="1"/>
    </xf>
    <xf numFmtId="164" fontId="0" fillId="5" borderId="9" xfId="0" applyNumberFormat="1" applyFill="1" applyBorder="1" applyAlignment="1" applyProtection="1">
      <alignment horizontal="center" vertical="center" wrapText="1"/>
      <protection locked="0"/>
    </xf>
    <xf numFmtId="164" fontId="0" fillId="5" borderId="10" xfId="0" applyNumberFormat="1" applyFill="1" applyBorder="1" applyAlignment="1" applyProtection="1">
      <alignment horizontal="center" vertical="center" wrapText="1"/>
      <protection locked="0"/>
    </xf>
    <xf numFmtId="164" fontId="0" fillId="6" borderId="11" xfId="0" applyNumberFormat="1" applyFill="1" applyBorder="1" applyAlignment="1">
      <alignment horizontal="right" vertical="center" wrapText="1"/>
    </xf>
    <xf numFmtId="165" fontId="0" fillId="7" borderId="12" xfId="0" applyNumberFormat="1" applyFill="1" applyBorder="1" applyAlignment="1">
      <alignment horizontal="right" vertical="center" wrapText="1"/>
    </xf>
    <xf numFmtId="165" fontId="0" fillId="7" borderId="14" xfId="0" applyNumberFormat="1" applyFill="1" applyBorder="1" applyAlignment="1">
      <alignment horizontal="right" vertical="center" wrapText="1"/>
    </xf>
    <xf numFmtId="9" fontId="0" fillId="8" borderId="12" xfId="0" applyNumberFormat="1" applyFill="1" applyBorder="1" applyAlignment="1">
      <alignment horizontal="center" vertical="center" wrapText="1"/>
    </xf>
    <xf numFmtId="0" fontId="0" fillId="8" borderId="13" xfId="0" applyFill="1" applyBorder="1" applyAlignment="1">
      <alignment horizontal="center" vertical="center" wrapText="1"/>
    </xf>
    <xf numFmtId="0" fontId="0" fillId="9" borderId="4" xfId="0" applyFill="1" applyBorder="1" applyAlignment="1">
      <alignment horizontal="center" vertical="center" wrapText="1"/>
    </xf>
    <xf numFmtId="0" fontId="0" fillId="9" borderId="15" xfId="0" applyFill="1" applyBorder="1" applyAlignment="1">
      <alignment horizontal="center" vertical="center" wrapText="1"/>
    </xf>
    <xf numFmtId="164" fontId="0" fillId="7" borderId="16" xfId="0" applyNumberFormat="1" applyFill="1" applyBorder="1" applyAlignment="1">
      <alignment horizontal="right" vertical="center" wrapText="1"/>
    </xf>
    <xf numFmtId="164" fontId="0" fillId="7" borderId="14" xfId="0" applyNumberFormat="1" applyFill="1" applyBorder="1" applyAlignment="1">
      <alignment horizontal="right" vertical="center" wrapText="1"/>
    </xf>
    <xf numFmtId="6" fontId="0" fillId="8" borderId="16" xfId="0" applyNumberFormat="1" applyFill="1" applyBorder="1" applyAlignment="1">
      <alignment horizontal="center" vertical="center" wrapText="1"/>
    </xf>
    <xf numFmtId="0" fontId="0" fillId="8" borderId="17" xfId="0" applyFill="1" applyBorder="1" applyAlignment="1">
      <alignment horizontal="center" vertical="center" wrapText="1"/>
    </xf>
    <xf numFmtId="0" fontId="0" fillId="9" borderId="11" xfId="0" applyFill="1" applyBorder="1" applyAlignment="1">
      <alignment horizontal="center" vertical="center" wrapText="1"/>
    </xf>
    <xf numFmtId="0" fontId="0" fillId="9" borderId="13" xfId="0" applyFill="1" applyBorder="1" applyAlignment="1">
      <alignment horizontal="center" vertical="center" wrapText="1"/>
    </xf>
    <xf numFmtId="9" fontId="0" fillId="8" borderId="13" xfId="0" applyNumberFormat="1" applyFill="1" applyBorder="1" applyAlignment="1">
      <alignment horizontal="center" vertical="center" wrapText="1"/>
    </xf>
    <xf numFmtId="0" fontId="0" fillId="9" borderId="14" xfId="0" applyFill="1" applyBorder="1" applyAlignment="1">
      <alignment horizontal="center" vertical="center" wrapText="1"/>
    </xf>
    <xf numFmtId="164" fontId="0" fillId="5" borderId="18" xfId="0" applyNumberFormat="1" applyFill="1" applyBorder="1" applyAlignment="1" applyProtection="1">
      <alignment horizontal="center" vertical="center" wrapText="1"/>
      <protection locked="0"/>
    </xf>
    <xf numFmtId="164" fontId="0" fillId="5" borderId="19" xfId="0" applyNumberFormat="1" applyFill="1" applyBorder="1" applyAlignment="1" applyProtection="1">
      <alignment horizontal="center" vertical="center" wrapText="1"/>
      <protection locked="0"/>
    </xf>
    <xf numFmtId="164" fontId="0" fillId="10" borderId="20" xfId="0" applyNumberFormat="1" applyFill="1" applyBorder="1" applyAlignment="1">
      <alignment horizontal="center" vertical="center" wrapText="1"/>
    </xf>
    <xf numFmtId="164" fontId="0" fillId="10" borderId="4" xfId="0" applyNumberFormat="1" applyFill="1" applyBorder="1" applyAlignment="1">
      <alignment horizontal="center" vertical="center" wrapText="1"/>
    </xf>
    <xf numFmtId="164" fontId="0" fillId="10" borderId="11" xfId="0" applyNumberFormat="1" applyFill="1" applyBorder="1" applyAlignment="1">
      <alignment horizontal="center" vertical="center" wrapText="1"/>
    </xf>
    <xf numFmtId="0" fontId="0" fillId="7" borderId="16" xfId="0" applyFill="1" applyBorder="1" applyAlignment="1">
      <alignment horizontal="center" vertical="center" wrapText="1"/>
    </xf>
    <xf numFmtId="0" fontId="0" fillId="7" borderId="21" xfId="0" applyFill="1" applyBorder="1" applyAlignment="1">
      <alignment horizontal="center" vertical="center" wrapText="1"/>
    </xf>
    <xf numFmtId="9" fontId="0" fillId="8" borderId="16" xfId="0" applyNumberFormat="1" applyFill="1" applyBorder="1" applyAlignment="1">
      <alignment horizontal="center" vertical="center" wrapText="1"/>
    </xf>
    <xf numFmtId="9" fontId="0" fillId="8" borderId="17" xfId="0" applyNumberFormat="1" applyFill="1" applyBorder="1" applyAlignment="1">
      <alignment horizontal="center" vertical="center" wrapText="1"/>
    </xf>
    <xf numFmtId="164" fontId="0" fillId="5" borderId="22" xfId="0" applyNumberFormat="1" applyFill="1" applyBorder="1" applyAlignment="1" applyProtection="1">
      <alignment horizontal="center" vertical="center" wrapText="1"/>
      <protection locked="0"/>
    </xf>
    <xf numFmtId="164" fontId="0" fillId="5" borderId="23" xfId="0" applyNumberFormat="1" applyFill="1" applyBorder="1" applyAlignment="1" applyProtection="1">
      <alignment horizontal="center" vertical="center" wrapText="1"/>
      <protection locked="0"/>
    </xf>
    <xf numFmtId="164" fontId="0" fillId="10" borderId="5" xfId="0" applyNumberFormat="1" applyFill="1" applyBorder="1" applyAlignment="1">
      <alignment horizontal="center" vertical="center" wrapText="1"/>
    </xf>
    <xf numFmtId="164" fontId="0" fillId="10" borderId="12" xfId="0" applyNumberFormat="1" applyFill="1" applyBorder="1" applyAlignment="1">
      <alignment horizontal="center" vertical="center" wrapText="1"/>
    </xf>
    <xf numFmtId="164" fontId="0" fillId="10" borderId="14" xfId="0" applyNumberFormat="1" applyFill="1" applyBorder="1" applyAlignment="1">
      <alignment horizontal="center" vertical="center" wrapText="1"/>
    </xf>
    <xf numFmtId="165" fontId="0" fillId="7" borderId="16" xfId="0" applyNumberFormat="1" applyFill="1" applyBorder="1" applyAlignment="1">
      <alignment horizontal="right" vertical="center" wrapText="1"/>
    </xf>
    <xf numFmtId="165" fontId="0" fillId="7" borderId="11" xfId="0" applyNumberFormat="1" applyFill="1" applyBorder="1" applyAlignment="1">
      <alignment horizontal="right" vertical="center" wrapText="1"/>
    </xf>
    <xf numFmtId="0" fontId="0" fillId="0" borderId="5" xfId="0" applyBorder="1"/>
    <xf numFmtId="0" fontId="0" fillId="7" borderId="13" xfId="0" applyFill="1" applyBorder="1"/>
    <xf numFmtId="0" fontId="0" fillId="0" borderId="14" xfId="0" applyBorder="1" applyAlignment="1">
      <alignment horizontal="center" wrapText="1"/>
    </xf>
    <xf numFmtId="0" fontId="5" fillId="0" borderId="0" xfId="0" applyFont="1" applyFill="1" applyBorder="1"/>
    <xf numFmtId="0" fontId="0" fillId="0" borderId="0" xfId="0" applyFill="1" applyBorder="1"/>
    <xf numFmtId="0" fontId="8" fillId="0" borderId="0" xfId="0" applyFont="1"/>
    <xf numFmtId="0" fontId="0" fillId="0" borderId="24" xfId="0" applyBorder="1"/>
    <xf numFmtId="0" fontId="3" fillId="11" borderId="0" xfId="0" applyFont="1" applyFill="1"/>
    <xf numFmtId="0" fontId="0" fillId="11" borderId="0" xfId="0" applyFill="1"/>
    <xf numFmtId="0" fontId="0" fillId="0" borderId="12" xfId="0" applyFill="1" applyBorder="1" applyAlignment="1">
      <alignment horizontal="left"/>
    </xf>
    <xf numFmtId="0" fontId="0" fillId="0" borderId="15" xfId="0" applyFill="1" applyBorder="1"/>
    <xf numFmtId="0" fontId="0" fillId="0" borderId="12" xfId="0" applyFill="1" applyBorder="1"/>
    <xf numFmtId="0" fontId="0" fillId="0" borderId="12" xfId="0" applyBorder="1" applyAlignment="1">
      <alignment horizontal="center" vertical="center"/>
    </xf>
    <xf numFmtId="0" fontId="0" fillId="0" borderId="15" xfId="0" applyBorder="1" applyAlignment="1">
      <alignment horizontal="center" vertical="center"/>
    </xf>
    <xf numFmtId="0" fontId="0" fillId="0" borderId="0" xfId="0" applyFill="1" applyBorder="1" applyAlignment="1">
      <alignment horizontal="center" vertical="center"/>
    </xf>
    <xf numFmtId="0" fontId="0" fillId="2" borderId="20" xfId="0" applyFill="1" applyBorder="1" applyAlignment="1">
      <alignment horizontal="center" vertical="center" wrapText="1"/>
    </xf>
    <xf numFmtId="0" fontId="0" fillId="2" borderId="4" xfId="0" applyFill="1" applyBorder="1" applyAlignment="1">
      <alignment horizontal="center" vertical="center" wrapText="1"/>
    </xf>
    <xf numFmtId="165" fontId="0" fillId="0" borderId="5" xfId="0" applyNumberFormat="1" applyBorder="1" applyAlignment="1">
      <alignment horizontal="right"/>
    </xf>
    <xf numFmtId="165" fontId="0" fillId="0" borderId="1" xfId="0" applyNumberFormat="1" applyBorder="1" applyAlignment="1">
      <alignment horizontal="right"/>
    </xf>
    <xf numFmtId="9" fontId="0" fillId="0" borderId="0" xfId="0" applyNumberFormat="1" applyBorder="1" applyAlignment="1">
      <alignment horizontal="right"/>
    </xf>
    <xf numFmtId="0" fontId="0" fillId="0" borderId="1" xfId="0" applyBorder="1" applyAlignment="1">
      <alignment horizontal="right"/>
    </xf>
    <xf numFmtId="9" fontId="0" fillId="0" borderId="0" xfId="0" applyNumberFormat="1" applyBorder="1" applyAlignment="1">
      <alignment horizontal="center" vertical="center"/>
    </xf>
    <xf numFmtId="9" fontId="0" fillId="0" borderId="5" xfId="0" applyNumberFormat="1" applyBorder="1" applyAlignment="1">
      <alignment horizontal="center" vertical="center"/>
    </xf>
    <xf numFmtId="9" fontId="0" fillId="0" borderId="1" xfId="0" applyNumberFormat="1" applyBorder="1" applyAlignment="1">
      <alignment horizontal="center" vertical="center"/>
    </xf>
    <xf numFmtId="2" fontId="0" fillId="0" borderId="5" xfId="0" applyNumberFormat="1" applyBorder="1" applyAlignment="1">
      <alignment horizontal="right"/>
    </xf>
    <xf numFmtId="0" fontId="0" fillId="0" borderId="0"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center"/>
    </xf>
    <xf numFmtId="0" fontId="0" fillId="0" borderId="0" xfId="0" applyBorder="1"/>
    <xf numFmtId="164" fontId="0" fillId="0" borderId="5" xfId="0" applyNumberFormat="1" applyBorder="1" applyAlignment="1">
      <alignment horizontal="right"/>
    </xf>
    <xf numFmtId="164" fontId="0" fillId="0" borderId="1" xfId="0" applyNumberFormat="1" applyBorder="1" applyAlignment="1">
      <alignment horizontal="right"/>
    </xf>
    <xf numFmtId="6" fontId="0" fillId="0" borderId="0" xfId="0" applyNumberFormat="1" applyBorder="1" applyAlignment="1">
      <alignment horizontal="right"/>
    </xf>
    <xf numFmtId="0" fontId="0" fillId="0" borderId="1" xfId="0" applyFill="1" applyBorder="1" applyAlignment="1">
      <alignment horizontal="right"/>
    </xf>
    <xf numFmtId="0" fontId="0" fillId="0" borderId="5" xfId="0" applyBorder="1" applyAlignment="1">
      <alignment horizontal="right"/>
    </xf>
    <xf numFmtId="9" fontId="0" fillId="0" borderId="0" xfId="0" applyNumberFormat="1" applyBorder="1" applyAlignment="1">
      <alignment horizontal="right" wrapText="1"/>
    </xf>
    <xf numFmtId="0" fontId="0" fillId="0" borderId="5" xfId="0" applyFont="1" applyBorder="1"/>
    <xf numFmtId="0" fontId="0" fillId="0" borderId="0" xfId="0" applyBorder="1" applyAlignment="1">
      <alignment horizontal="right"/>
    </xf>
    <xf numFmtId="0" fontId="0" fillId="0" borderId="16" xfId="0" applyBorder="1"/>
    <xf numFmtId="0" fontId="0" fillId="0" borderId="21" xfId="0" applyBorder="1"/>
    <xf numFmtId="0" fontId="0" fillId="0" borderId="17" xfId="0" applyBorder="1" applyAlignment="1">
      <alignment horizontal="right"/>
    </xf>
    <xf numFmtId="0" fontId="0" fillId="0" borderId="21" xfId="0" applyBorder="1" applyAlignment="1">
      <alignment horizontal="right" wrapText="1"/>
    </xf>
    <xf numFmtId="0" fontId="0" fillId="12" borderId="17" xfId="0" applyFill="1" applyBorder="1" applyAlignment="1">
      <alignment horizontal="center" wrapText="1"/>
    </xf>
    <xf numFmtId="0" fontId="0" fillId="0" borderId="16" xfId="0" applyBorder="1" applyAlignment="1">
      <alignment horizontal="center"/>
    </xf>
    <xf numFmtId="0" fontId="0" fillId="0" borderId="21" xfId="0" applyBorder="1" applyAlignment="1">
      <alignment horizontal="center"/>
    </xf>
    <xf numFmtId="0" fontId="1" fillId="0" borderId="0" xfId="0" applyFont="1" applyFill="1"/>
    <xf numFmtId="0" fontId="9" fillId="0" borderId="0" xfId="0" applyFont="1"/>
    <xf numFmtId="0" fontId="6" fillId="0" borderId="0" xfId="0" applyFont="1"/>
    <xf numFmtId="0" fontId="10" fillId="0" borderId="0" xfId="0" applyFont="1"/>
    <xf numFmtId="0" fontId="6" fillId="0" borderId="0" xfId="0" applyFont="1" applyAlignment="1">
      <alignment horizontal="center"/>
    </xf>
    <xf numFmtId="0" fontId="11" fillId="0" borderId="0" xfId="0" applyFont="1" applyFill="1"/>
    <xf numFmtId="0" fontId="11" fillId="0" borderId="0" xfId="0" applyFont="1"/>
    <xf numFmtId="0" fontId="6" fillId="0" borderId="0" xfId="0" applyFont="1" applyFill="1"/>
    <xf numFmtId="0" fontId="7" fillId="0" borderId="0" xfId="0" applyFont="1"/>
    <xf numFmtId="0" fontId="0" fillId="0" borderId="5" xfId="0" applyBorder="1" applyAlignment="1">
      <alignment horizontal="right" wrapText="1"/>
    </xf>
    <xf numFmtId="0" fontId="6" fillId="0" borderId="0" xfId="0" applyFont="1" applyAlignment="1">
      <alignment horizontal="center" vertical="top"/>
    </xf>
    <xf numFmtId="0" fontId="6" fillId="0" borderId="0" xfId="0" applyFont="1" applyAlignment="1">
      <alignment horizontal="left" wrapText="1"/>
    </xf>
    <xf numFmtId="0" fontId="0" fillId="0" borderId="0" xfId="0" applyAlignment="1">
      <alignment horizontal="right"/>
    </xf>
    <xf numFmtId="164" fontId="0" fillId="6" borderId="8" xfId="0" applyNumberFormat="1" applyFill="1" applyBorder="1" applyAlignment="1">
      <alignment horizontal="center" vertical="center" wrapText="1"/>
    </xf>
    <xf numFmtId="164" fontId="0" fillId="6" borderId="14" xfId="0" applyNumberFormat="1" applyFill="1" applyBorder="1" applyAlignment="1">
      <alignment horizontal="center" vertical="center" wrapText="1"/>
    </xf>
    <xf numFmtId="164" fontId="0" fillId="6" borderId="11" xfId="0" applyNumberFormat="1" applyFill="1" applyBorder="1" applyAlignment="1">
      <alignment horizontal="center" vertical="center" wrapText="1"/>
    </xf>
    <xf numFmtId="165" fontId="0" fillId="0" borderId="8" xfId="0" applyNumberFormat="1" applyBorder="1" applyAlignment="1">
      <alignment horizontal="right"/>
    </xf>
    <xf numFmtId="165" fontId="0" fillId="0" borderId="8" xfId="0" applyNumberFormat="1" applyBorder="1"/>
    <xf numFmtId="2" fontId="0" fillId="0" borderId="8" xfId="0" applyNumberFormat="1" applyBorder="1" applyAlignment="1">
      <alignment horizontal="right"/>
    </xf>
    <xf numFmtId="2" fontId="0" fillId="0" borderId="8" xfId="0" applyNumberFormat="1" applyBorder="1"/>
    <xf numFmtId="2" fontId="1" fillId="0" borderId="8" xfId="0" applyNumberFormat="1" applyFont="1" applyBorder="1"/>
    <xf numFmtId="0" fontId="0" fillId="0" borderId="0" xfId="0" applyProtection="1"/>
    <xf numFmtId="0" fontId="0" fillId="0" borderId="1" xfId="0" applyBorder="1" applyProtection="1"/>
    <xf numFmtId="0" fontId="0" fillId="0" borderId="0" xfId="0" applyFill="1" applyBorder="1" applyAlignment="1" applyProtection="1">
      <alignment horizontal="center" vertical="center" wrapText="1"/>
    </xf>
    <xf numFmtId="0" fontId="0" fillId="0" borderId="1" xfId="0" applyFill="1" applyBorder="1" applyAlignment="1" applyProtection="1">
      <alignment horizontal="center" vertical="center" wrapText="1"/>
    </xf>
    <xf numFmtId="0" fontId="0" fillId="0" borderId="0" xfId="0" applyFill="1" applyAlignment="1" applyProtection="1">
      <alignment horizontal="center" vertical="center" wrapText="1"/>
    </xf>
    <xf numFmtId="9" fontId="0" fillId="8" borderId="12" xfId="0" applyNumberFormat="1" applyFill="1" applyBorder="1" applyAlignment="1" applyProtection="1">
      <alignment horizontal="center" vertical="center" wrapText="1"/>
    </xf>
    <xf numFmtId="0" fontId="0" fillId="8" borderId="13" xfId="0" applyFill="1" applyBorder="1" applyAlignment="1" applyProtection="1">
      <alignment horizontal="center" vertical="center" wrapText="1"/>
    </xf>
    <xf numFmtId="0" fontId="0" fillId="9" borderId="4" xfId="0" applyFill="1" applyBorder="1" applyAlignment="1" applyProtection="1">
      <alignment horizontal="center" vertical="center" wrapText="1"/>
    </xf>
    <xf numFmtId="0" fontId="0" fillId="9" borderId="15" xfId="0" applyFill="1" applyBorder="1" applyAlignment="1" applyProtection="1">
      <alignment horizontal="center" vertical="center" wrapText="1"/>
    </xf>
    <xf numFmtId="0" fontId="0" fillId="9" borderId="12" xfId="0" applyFill="1" applyBorder="1" applyAlignment="1" applyProtection="1">
      <alignment horizontal="center" vertical="center" wrapText="1"/>
    </xf>
    <xf numFmtId="6" fontId="0" fillId="8" borderId="16" xfId="0" applyNumberFormat="1" applyFill="1" applyBorder="1" applyAlignment="1" applyProtection="1">
      <alignment horizontal="center" vertical="center" wrapText="1"/>
    </xf>
    <xf numFmtId="0" fontId="0" fillId="8" borderId="17" xfId="0" applyFill="1" applyBorder="1" applyAlignment="1" applyProtection="1">
      <alignment horizontal="center" vertical="center" wrapText="1"/>
    </xf>
    <xf numFmtId="0" fontId="0" fillId="9" borderId="11" xfId="0" applyFill="1" applyBorder="1" applyAlignment="1" applyProtection="1">
      <alignment horizontal="center" vertical="center" wrapText="1"/>
    </xf>
    <xf numFmtId="0" fontId="0" fillId="9" borderId="13" xfId="0" applyFill="1" applyBorder="1" applyAlignment="1" applyProtection="1">
      <alignment horizontal="center" vertical="center" wrapText="1"/>
    </xf>
    <xf numFmtId="9" fontId="0" fillId="8" borderId="13" xfId="0" applyNumberFormat="1" applyFill="1" applyBorder="1" applyAlignment="1" applyProtection="1">
      <alignment horizontal="center" vertical="center" wrapText="1"/>
    </xf>
    <xf numFmtId="0" fontId="0" fillId="9" borderId="14" xfId="0" applyFill="1" applyBorder="1" applyAlignment="1" applyProtection="1">
      <alignment horizontal="center" vertical="center" wrapText="1"/>
    </xf>
    <xf numFmtId="9" fontId="0" fillId="8" borderId="16" xfId="0" applyNumberFormat="1" applyFill="1" applyBorder="1" applyAlignment="1" applyProtection="1">
      <alignment horizontal="center" vertical="center" wrapText="1"/>
    </xf>
    <xf numFmtId="9" fontId="0" fillId="8" borderId="17" xfId="0" applyNumberFormat="1" applyFill="1" applyBorder="1" applyAlignment="1" applyProtection="1">
      <alignment horizontal="center" vertical="center" wrapText="1"/>
    </xf>
    <xf numFmtId="0" fontId="0" fillId="7" borderId="13" xfId="0" applyFill="1" applyBorder="1" applyProtection="1"/>
    <xf numFmtId="0" fontId="0" fillId="0" borderId="14" xfId="0" applyBorder="1" applyAlignment="1" applyProtection="1">
      <alignment horizontal="center" wrapText="1"/>
    </xf>
    <xf numFmtId="3" fontId="0" fillId="13" borderId="28" xfId="0" applyNumberFormat="1" applyFill="1" applyBorder="1" applyAlignment="1" applyProtection="1">
      <alignment horizontal="center" vertical="center" wrapText="1"/>
    </xf>
    <xf numFmtId="3" fontId="0" fillId="13" borderId="3" xfId="0" applyNumberFormat="1" applyFill="1" applyBorder="1" applyAlignment="1" applyProtection="1">
      <alignment horizontal="center" vertical="center" wrapText="1"/>
    </xf>
    <xf numFmtId="3" fontId="0" fillId="13" borderId="9" xfId="0" applyNumberFormat="1" applyFill="1" applyBorder="1" applyAlignment="1" applyProtection="1">
      <alignment horizontal="center" vertical="center" wrapText="1"/>
    </xf>
    <xf numFmtId="3" fontId="0" fillId="13" borderId="7" xfId="0" applyNumberFormat="1" applyFill="1" applyBorder="1" applyAlignment="1" applyProtection="1">
      <alignment horizontal="center" vertical="center" wrapText="1"/>
    </xf>
    <xf numFmtId="3" fontId="0" fillId="13" borderId="6" xfId="0" applyNumberFormat="1" applyFill="1" applyBorder="1" applyAlignment="1" applyProtection="1">
      <alignment horizontal="center" vertical="center" wrapText="1"/>
    </xf>
    <xf numFmtId="164" fontId="0" fillId="13" borderId="7" xfId="0" applyNumberFormat="1" applyFill="1" applyBorder="1" applyAlignment="1" applyProtection="1">
      <alignment horizontal="center" vertical="center" wrapText="1"/>
    </xf>
    <xf numFmtId="3" fontId="0" fillId="13" borderId="29" xfId="0" applyNumberFormat="1" applyFill="1" applyBorder="1" applyAlignment="1" applyProtection="1">
      <alignment horizontal="center" vertical="center" wrapText="1"/>
    </xf>
    <xf numFmtId="164" fontId="0" fillId="13" borderId="10" xfId="0" applyNumberFormat="1" applyFill="1" applyBorder="1" applyAlignment="1" applyProtection="1">
      <alignment horizontal="center" vertical="center" wrapText="1"/>
    </xf>
    <xf numFmtId="3" fontId="0" fillId="13" borderId="30" xfId="0" applyNumberFormat="1" applyFill="1" applyBorder="1" applyAlignment="1" applyProtection="1">
      <alignment horizontal="center" vertical="center" wrapText="1"/>
    </xf>
    <xf numFmtId="3" fontId="0" fillId="13" borderId="31" xfId="0" applyNumberFormat="1" applyFill="1" applyBorder="1" applyAlignment="1" applyProtection="1">
      <alignment horizontal="center" vertical="center" wrapText="1"/>
    </xf>
    <xf numFmtId="164" fontId="0" fillId="13" borderId="32" xfId="0" applyNumberFormat="1" applyFill="1" applyBorder="1" applyAlignment="1" applyProtection="1">
      <alignment horizontal="center" vertical="center" wrapText="1"/>
    </xf>
    <xf numFmtId="164" fontId="0" fillId="13" borderId="33" xfId="0" applyNumberFormat="1" applyFill="1" applyBorder="1" applyAlignment="1" applyProtection="1">
      <alignment horizontal="center" vertical="center" wrapText="1"/>
    </xf>
    <xf numFmtId="164" fontId="0" fillId="13" borderId="26" xfId="0" applyNumberFormat="1" applyFill="1" applyBorder="1" applyAlignment="1" applyProtection="1">
      <alignment horizontal="center" vertical="center" wrapText="1"/>
    </xf>
    <xf numFmtId="164" fontId="0" fillId="13" borderId="27" xfId="0" applyNumberFormat="1" applyFill="1" applyBorder="1" applyAlignment="1" applyProtection="1">
      <alignment horizontal="center" vertical="center" wrapText="1"/>
    </xf>
    <xf numFmtId="164" fontId="0" fillId="13" borderId="12" xfId="0" applyNumberFormat="1" applyFill="1" applyBorder="1" applyAlignment="1" applyProtection="1">
      <alignment horizontal="center" vertical="center" wrapText="1"/>
    </xf>
    <xf numFmtId="164" fontId="0" fillId="13" borderId="23" xfId="0" applyNumberFormat="1" applyFill="1" applyBorder="1" applyAlignment="1" applyProtection="1">
      <alignment horizontal="center" vertical="center" wrapText="1"/>
    </xf>
    <xf numFmtId="164" fontId="0" fillId="13" borderId="20" xfId="0" applyNumberFormat="1" applyFill="1" applyBorder="1" applyAlignment="1" applyProtection="1">
      <alignment horizontal="right" vertical="center" wrapText="1"/>
    </xf>
    <xf numFmtId="0" fontId="0" fillId="0" borderId="34" xfId="0" applyBorder="1" applyProtection="1"/>
    <xf numFmtId="0" fontId="0" fillId="0" borderId="13" xfId="0" applyBorder="1" applyProtection="1"/>
    <xf numFmtId="0" fontId="0" fillId="0" borderId="34" xfId="0" applyBorder="1"/>
    <xf numFmtId="0" fontId="5" fillId="3" borderId="0" xfId="0" applyFont="1" applyFill="1" applyBorder="1"/>
    <xf numFmtId="0" fontId="0" fillId="7" borderId="13" xfId="0" applyFill="1" applyBorder="1" applyAlignment="1">
      <alignment wrapText="1"/>
    </xf>
    <xf numFmtId="0" fontId="0" fillId="7" borderId="17" xfId="0" applyFill="1" applyBorder="1" applyAlignment="1">
      <alignment wrapText="1"/>
    </xf>
    <xf numFmtId="0" fontId="0" fillId="0" borderId="0" xfId="0" applyBorder="1" applyAlignment="1">
      <alignment wrapText="1"/>
    </xf>
    <xf numFmtId="0" fontId="5" fillId="3" borderId="13" xfId="0" applyFont="1" applyFill="1" applyBorder="1"/>
    <xf numFmtId="0" fontId="7" fillId="0" borderId="0" xfId="0" applyFont="1" applyBorder="1"/>
    <xf numFmtId="0" fontId="4" fillId="0" borderId="0" xfId="0" applyFont="1" applyBorder="1"/>
    <xf numFmtId="0" fontId="0" fillId="0" borderId="17" xfId="0" applyBorder="1"/>
    <xf numFmtId="0" fontId="0" fillId="0" borderId="5" xfId="0" applyBorder="1" applyProtection="1"/>
    <xf numFmtId="0" fontId="0" fillId="0" borderId="5" xfId="0" applyFill="1" applyBorder="1" applyAlignment="1" applyProtection="1">
      <alignment horizontal="center" vertical="center" wrapText="1"/>
    </xf>
    <xf numFmtId="0" fontId="0" fillId="0" borderId="0" xfId="0" applyBorder="1" applyProtection="1"/>
    <xf numFmtId="0" fontId="0" fillId="9" borderId="20" xfId="0" applyFill="1" applyBorder="1" applyAlignment="1" applyProtection="1">
      <alignment horizontal="center" vertical="center" wrapText="1"/>
    </xf>
    <xf numFmtId="0" fontId="0" fillId="9" borderId="16" xfId="0" applyFill="1" applyBorder="1" applyAlignment="1" applyProtection="1">
      <alignment horizontal="center" vertical="center" wrapText="1"/>
    </xf>
    <xf numFmtId="0" fontId="0" fillId="0" borderId="12" xfId="0" applyBorder="1" applyAlignment="1" applyProtection="1">
      <alignment horizontal="center" wrapText="1"/>
    </xf>
    <xf numFmtId="0" fontId="0" fillId="0" borderId="5" xfId="0" applyFill="1" applyBorder="1" applyAlignment="1">
      <alignment horizontal="center" vertical="center" wrapText="1"/>
    </xf>
    <xf numFmtId="0" fontId="0" fillId="0" borderId="15" xfId="0" applyBorder="1"/>
    <xf numFmtId="0" fontId="0" fillId="2" borderId="4" xfId="0" applyFill="1" applyBorder="1"/>
    <xf numFmtId="164" fontId="0" fillId="5" borderId="35" xfId="0" applyNumberFormat="1" applyFill="1" applyBorder="1" applyAlignment="1" applyProtection="1">
      <alignment horizontal="center" vertical="center" wrapText="1"/>
      <protection locked="0"/>
    </xf>
    <xf numFmtId="164" fontId="0" fillId="5" borderId="36" xfId="0" applyNumberFormat="1" applyFill="1" applyBorder="1" applyAlignment="1" applyProtection="1">
      <alignment horizontal="center" vertical="center" wrapText="1"/>
      <protection locked="0"/>
    </xf>
    <xf numFmtId="0" fontId="0" fillId="0" borderId="20" xfId="0" applyBorder="1"/>
    <xf numFmtId="0" fontId="0" fillId="0" borderId="25" xfId="0" applyBorder="1"/>
    <xf numFmtId="0" fontId="0" fillId="0" borderId="8" xfId="0" applyBorder="1"/>
    <xf numFmtId="0" fontId="0" fillId="0" borderId="8" xfId="0" applyBorder="1" applyAlignment="1">
      <alignment wrapText="1"/>
    </xf>
    <xf numFmtId="0" fontId="0" fillId="0" borderId="8" xfId="0" applyFont="1" applyBorder="1" applyAlignment="1">
      <alignment wrapText="1"/>
    </xf>
    <xf numFmtId="0" fontId="0" fillId="0" borderId="11" xfId="0" applyBorder="1" applyAlignment="1">
      <alignment wrapText="1"/>
    </xf>
    <xf numFmtId="0" fontId="0" fillId="4" borderId="8" xfId="0" applyFill="1" applyBorder="1" applyAlignment="1">
      <alignment wrapText="1"/>
    </xf>
    <xf numFmtId="0" fontId="0" fillId="7" borderId="14" xfId="0" applyFill="1" applyBorder="1" applyAlignment="1">
      <alignment wrapText="1"/>
    </xf>
    <xf numFmtId="0" fontId="0" fillId="7" borderId="11" xfId="0" applyFill="1" applyBorder="1" applyAlignment="1">
      <alignment wrapText="1"/>
    </xf>
    <xf numFmtId="0" fontId="5" fillId="3" borderId="8" xfId="0" applyFont="1" applyFill="1" applyBorder="1"/>
    <xf numFmtId="164" fontId="0" fillId="6" borderId="14" xfId="0" applyNumberFormat="1" applyFill="1" applyBorder="1" applyAlignment="1">
      <alignment horizontal="right" vertical="center" wrapText="1"/>
    </xf>
    <xf numFmtId="0" fontId="0" fillId="0" borderId="4" xfId="0" applyBorder="1" applyAlignment="1">
      <alignment wrapText="1"/>
    </xf>
    <xf numFmtId="0" fontId="0" fillId="2" borderId="4" xfId="0" applyFill="1" applyBorder="1" applyAlignment="1">
      <alignment horizontal="center" wrapText="1"/>
    </xf>
    <xf numFmtId="0" fontId="0" fillId="2" borderId="4" xfId="0" applyFill="1" applyBorder="1" applyAlignment="1">
      <alignment horizontal="center"/>
    </xf>
    <xf numFmtId="0" fontId="0" fillId="2" borderId="8" xfId="0" applyFill="1" applyBorder="1" applyAlignment="1">
      <alignment horizontal="center" wrapText="1"/>
    </xf>
    <xf numFmtId="0" fontId="0" fillId="2" borderId="8" xfId="0" applyFill="1" applyBorder="1" applyAlignment="1">
      <alignment horizontal="center"/>
    </xf>
    <xf numFmtId="0" fontId="0" fillId="0" borderId="11" xfId="0" applyBorder="1"/>
    <xf numFmtId="0" fontId="0" fillId="0" borderId="17" xfId="0" applyBorder="1" applyProtection="1"/>
    <xf numFmtId="0" fontId="12" fillId="0" borderId="0" xfId="0" applyFont="1"/>
    <xf numFmtId="0" fontId="5" fillId="2" borderId="4" xfId="0" applyFont="1" applyFill="1" applyBorder="1" applyAlignment="1">
      <alignment horizontal="left" wrapText="1"/>
    </xf>
    <xf numFmtId="0" fontId="6" fillId="2" borderId="4" xfId="0" applyFont="1" applyFill="1" applyBorder="1" applyAlignment="1">
      <alignment horizontal="left" wrapText="1"/>
    </xf>
    <xf numFmtId="0" fontId="0" fillId="0" borderId="0" xfId="0" applyAlignment="1">
      <alignment horizontal="left"/>
    </xf>
    <xf numFmtId="0" fontId="5" fillId="2" borderId="8" xfId="0" applyFont="1" applyFill="1" applyBorder="1" applyAlignment="1">
      <alignment horizontal="left" wrapText="1"/>
    </xf>
    <xf numFmtId="0" fontId="6" fillId="2" borderId="14" xfId="0" applyFont="1" applyFill="1" applyBorder="1" applyAlignment="1">
      <alignment horizontal="left" wrapText="1"/>
    </xf>
    <xf numFmtId="0" fontId="6" fillId="2" borderId="8" xfId="0" applyFont="1" applyFill="1" applyBorder="1" applyAlignment="1">
      <alignment horizontal="left" wrapText="1"/>
    </xf>
    <xf numFmtId="0" fontId="0" fillId="2" borderId="4" xfId="0" applyFill="1" applyBorder="1" applyAlignment="1">
      <alignment horizontal="left"/>
    </xf>
    <xf numFmtId="0" fontId="0" fillId="2" borderId="8" xfId="0" applyFill="1" applyBorder="1" applyAlignment="1">
      <alignment horizontal="left"/>
    </xf>
    <xf numFmtId="0" fontId="0" fillId="12" borderId="17" xfId="0" applyFill="1" applyBorder="1" applyAlignment="1">
      <alignment horizontal="left" wrapText="1"/>
    </xf>
    <xf numFmtId="0" fontId="0" fillId="0" borderId="8" xfId="0" applyFont="1" applyBorder="1"/>
    <xf numFmtId="0" fontId="0" fillId="0" borderId="11" xfId="0" applyFont="1" applyBorder="1"/>
    <xf numFmtId="0" fontId="6" fillId="2" borderId="4" xfId="0" applyFont="1" applyFill="1" applyBorder="1" applyAlignment="1">
      <alignment horizontal="left"/>
    </xf>
    <xf numFmtId="0" fontId="6" fillId="0" borderId="12" xfId="0" applyFont="1" applyFill="1" applyBorder="1" applyAlignment="1">
      <alignment horizontal="left"/>
    </xf>
    <xf numFmtId="0" fontId="6" fillId="0" borderId="15" xfId="0" applyFont="1" applyFill="1" applyBorder="1" applyAlignment="1">
      <alignment horizontal="left"/>
    </xf>
    <xf numFmtId="0" fontId="6" fillId="0" borderId="12" xfId="0" applyFont="1" applyBorder="1" applyAlignment="1">
      <alignment horizontal="left" vertical="center"/>
    </xf>
    <xf numFmtId="0" fontId="6" fillId="0" borderId="15" xfId="0" applyFont="1" applyBorder="1" applyAlignment="1">
      <alignment horizontal="left" vertical="center"/>
    </xf>
    <xf numFmtId="0" fontId="6" fillId="0" borderId="0" xfId="0" applyFont="1" applyFill="1" applyBorder="1" applyAlignment="1">
      <alignment horizontal="left" vertical="center"/>
    </xf>
    <xf numFmtId="0" fontId="6" fillId="0" borderId="0" xfId="0" applyFont="1" applyAlignment="1">
      <alignment horizontal="left"/>
    </xf>
    <xf numFmtId="0" fontId="6" fillId="2" borderId="8" xfId="0" applyFont="1" applyFill="1" applyBorder="1" applyAlignment="1">
      <alignment horizontal="left"/>
    </xf>
    <xf numFmtId="0" fontId="6" fillId="0" borderId="0" xfId="0" applyFont="1" applyFill="1" applyBorder="1" applyAlignment="1">
      <alignment horizontal="left"/>
    </xf>
    <xf numFmtId="0" fontId="6" fillId="2" borderId="5" xfId="0" applyFont="1" applyFill="1" applyBorder="1" applyAlignment="1">
      <alignment horizontal="left"/>
    </xf>
    <xf numFmtId="0" fontId="6" fillId="2" borderId="20" xfId="0" applyFont="1" applyFill="1" applyBorder="1" applyAlignment="1">
      <alignment horizontal="left" vertical="center" wrapText="1"/>
    </xf>
    <xf numFmtId="0" fontId="6" fillId="2" borderId="4" xfId="0" applyFont="1" applyFill="1" applyBorder="1" applyAlignment="1">
      <alignment horizontal="left" vertical="center" wrapText="1"/>
    </xf>
    <xf numFmtId="0" fontId="6" fillId="0" borderId="0" xfId="0" applyFont="1" applyAlignment="1">
      <alignment horizontal="left" wrapText="1"/>
    </xf>
    <xf numFmtId="0" fontId="0" fillId="0" borderId="0" xfId="0" applyAlignment="1">
      <alignment horizontal="left" wrapText="1"/>
    </xf>
    <xf numFmtId="0" fontId="6" fillId="2" borderId="12" xfId="0" applyFont="1" applyFill="1" applyBorder="1" applyAlignment="1">
      <alignment horizontal="left" wrapText="1"/>
    </xf>
    <xf numFmtId="0" fontId="6" fillId="2" borderId="15" xfId="0" applyFont="1" applyFill="1" applyBorder="1" applyAlignment="1">
      <alignment horizontal="left" wrapText="1"/>
    </xf>
    <xf numFmtId="0" fontId="6" fillId="2" borderId="13" xfId="0" applyFont="1" applyFill="1" applyBorder="1" applyAlignment="1">
      <alignment horizontal="left" wrapText="1"/>
    </xf>
  </cellXfs>
  <cellStyles count="1">
    <cellStyle name="Normal" xfId="0" builtinId="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N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Relative Performance - 6 Key ratios</a:t>
            </a:r>
          </a:p>
        </c:rich>
      </c:tx>
      <c:overlay val="0"/>
      <c:spPr>
        <a:noFill/>
        <a:ln>
          <a:noFill/>
        </a:ln>
        <a:effectLst/>
      </c:spPr>
    </c:title>
    <c:autoTitleDeleted val="0"/>
    <c:plotArea>
      <c:layout/>
      <c:radarChart>
        <c:radarStyle val="marker"/>
        <c:varyColors val="0"/>
        <c:ser>
          <c:idx val="0"/>
          <c:order val="0"/>
          <c:tx>
            <c:strRef>
              <c:f>Calculations!$AU$58</c:f>
              <c:strCache>
                <c:ptCount val="1"/>
                <c:pt idx="0">
                  <c:v>Result Latest</c:v>
                </c:pt>
              </c:strCache>
            </c:strRef>
          </c:tx>
          <c:spPr>
            <a:ln w="34925" cap="rnd">
              <a:solidFill>
                <a:schemeClr val="accent1"/>
              </a:solidFill>
              <a:round/>
            </a:ln>
            <a:effectLst>
              <a:outerShdw blurRad="57150" dist="19050" dir="5400000" algn="ctr" rotWithShape="0">
                <a:srgbClr val="000000">
                  <a:alpha val="63000"/>
                </a:srgbClr>
              </a:outerShdw>
            </a:effectLst>
          </c:spPr>
          <c:marker>
            <c:symbol val="none"/>
          </c:marker>
          <c:cat>
            <c:strRef>
              <c:f>Calculations!$AT$59:$AT$64</c:f>
              <c:strCache>
                <c:ptCount val="6"/>
                <c:pt idx="0">
                  <c:v>1  Net Tangible Assets</c:v>
                </c:pt>
                <c:pt idx="1">
                  <c:v>2 Liquid Assets</c:v>
                </c:pt>
                <c:pt idx="2">
                  <c:v>3 Working Capital</c:v>
                </c:pt>
                <c:pt idx="3">
                  <c:v>4 Profitability</c:v>
                </c:pt>
                <c:pt idx="4">
                  <c:v>5 Net Cashflows</c:v>
                </c:pt>
                <c:pt idx="5">
                  <c:v>6 Capitalisation</c:v>
                </c:pt>
              </c:strCache>
            </c:strRef>
          </c:cat>
          <c:val>
            <c:numRef>
              <c:f>Calculations!$AU$59:$AU$64</c:f>
              <c:numCache>
                <c:formatCode>0.00</c:formatCode>
                <c:ptCount val="6"/>
                <c:pt idx="0">
                  <c:v>0</c:v>
                </c:pt>
                <c:pt idx="1">
                  <c:v>0</c:v>
                </c:pt>
                <c:pt idx="2">
                  <c:v>0</c:v>
                </c:pt>
                <c:pt idx="3">
                  <c:v>0</c:v>
                </c:pt>
                <c:pt idx="4">
                  <c:v>0</c:v>
                </c:pt>
                <c:pt idx="5">
                  <c:v>0</c:v>
                </c:pt>
              </c:numCache>
            </c:numRef>
          </c:val>
        </c:ser>
        <c:ser>
          <c:idx val="1"/>
          <c:order val="1"/>
          <c:tx>
            <c:strRef>
              <c:f>Calculations!$AV$58</c:f>
              <c:strCache>
                <c:ptCount val="1"/>
                <c:pt idx="0">
                  <c:v>Result Forecast</c:v>
                </c:pt>
              </c:strCache>
            </c:strRef>
          </c:tx>
          <c:spPr>
            <a:ln w="19050" cap="rnd">
              <a:solidFill>
                <a:schemeClr val="accent2"/>
              </a:solidFill>
              <a:prstDash val="sysDash"/>
              <a:round/>
            </a:ln>
            <a:effectLst>
              <a:outerShdw blurRad="57150" dist="19050" dir="5400000" algn="ctr" rotWithShape="0">
                <a:srgbClr val="000000">
                  <a:alpha val="63000"/>
                </a:srgbClr>
              </a:outerShdw>
            </a:effectLst>
          </c:spPr>
          <c:marker>
            <c:symbol val="none"/>
          </c:marker>
          <c:cat>
            <c:strRef>
              <c:f>Calculations!$AT$59:$AT$64</c:f>
              <c:strCache>
                <c:ptCount val="6"/>
                <c:pt idx="0">
                  <c:v>1  Net Tangible Assets</c:v>
                </c:pt>
                <c:pt idx="1">
                  <c:v>2 Liquid Assets</c:v>
                </c:pt>
                <c:pt idx="2">
                  <c:v>3 Working Capital</c:v>
                </c:pt>
                <c:pt idx="3">
                  <c:v>4 Profitability</c:v>
                </c:pt>
                <c:pt idx="4">
                  <c:v>5 Net Cashflows</c:v>
                </c:pt>
                <c:pt idx="5">
                  <c:v>6 Capitalisation</c:v>
                </c:pt>
              </c:strCache>
            </c:strRef>
          </c:cat>
          <c:val>
            <c:numRef>
              <c:f>Calculations!$AV$59:$AV$64</c:f>
              <c:numCache>
                <c:formatCode>0.00</c:formatCode>
                <c:ptCount val="6"/>
                <c:pt idx="0">
                  <c:v>0</c:v>
                </c:pt>
                <c:pt idx="1">
                  <c:v>0</c:v>
                </c:pt>
                <c:pt idx="2">
                  <c:v>0</c:v>
                </c:pt>
                <c:pt idx="3">
                  <c:v>0</c:v>
                </c:pt>
                <c:pt idx="4">
                  <c:v>0</c:v>
                </c:pt>
                <c:pt idx="5">
                  <c:v>0</c:v>
                </c:pt>
              </c:numCache>
            </c:numRef>
          </c:val>
        </c:ser>
        <c:ser>
          <c:idx val="2"/>
          <c:order val="2"/>
          <c:tx>
            <c:strRef>
              <c:f>Calculations!$AW$58</c:f>
              <c:strCache>
                <c:ptCount val="1"/>
                <c:pt idx="0">
                  <c:v>PFS Minimum</c:v>
                </c:pt>
              </c:strCache>
            </c:strRef>
          </c:tx>
          <c:spPr>
            <a:ln w="19050" cap="rnd">
              <a:solidFill>
                <a:schemeClr val="accent3"/>
              </a:solidFill>
              <a:round/>
            </a:ln>
            <a:effectLst>
              <a:outerShdw blurRad="57150" dist="19050" dir="5400000" algn="ctr" rotWithShape="0">
                <a:srgbClr val="000000">
                  <a:alpha val="63000"/>
                </a:srgbClr>
              </a:outerShdw>
            </a:effectLst>
          </c:spPr>
          <c:marker>
            <c:symbol val="none"/>
          </c:marker>
          <c:cat>
            <c:strRef>
              <c:f>Calculations!$AT$59:$AT$64</c:f>
              <c:strCache>
                <c:ptCount val="6"/>
                <c:pt idx="0">
                  <c:v>1  Net Tangible Assets</c:v>
                </c:pt>
                <c:pt idx="1">
                  <c:v>2 Liquid Assets</c:v>
                </c:pt>
                <c:pt idx="2">
                  <c:v>3 Working Capital</c:v>
                </c:pt>
                <c:pt idx="3">
                  <c:v>4 Profitability</c:v>
                </c:pt>
                <c:pt idx="4">
                  <c:v>5 Net Cashflows</c:v>
                </c:pt>
                <c:pt idx="5">
                  <c:v>6 Capitalisation</c:v>
                </c:pt>
              </c:strCache>
            </c:strRef>
          </c:cat>
          <c:val>
            <c:numRef>
              <c:f>Calculations!$AW$59:$AW$64</c:f>
              <c:numCache>
                <c:formatCode>0.00</c:formatCode>
                <c:ptCount val="6"/>
                <c:pt idx="0">
                  <c:v>1</c:v>
                </c:pt>
                <c:pt idx="1">
                  <c:v>0.625</c:v>
                </c:pt>
                <c:pt idx="2">
                  <c:v>0.75</c:v>
                </c:pt>
                <c:pt idx="3">
                  <c:v>-2.666666666666667</c:v>
                </c:pt>
                <c:pt idx="4">
                  <c:v>0.9009009009009008</c:v>
                </c:pt>
                <c:pt idx="5">
                  <c:v>0.65789473684210531</c:v>
                </c:pt>
              </c:numCache>
            </c:numRef>
          </c:val>
        </c:ser>
        <c:ser>
          <c:idx val="3"/>
          <c:order val="3"/>
          <c:tx>
            <c:strRef>
              <c:f>Calculations!$AX$58</c:f>
              <c:strCache>
                <c:ptCount val="1"/>
                <c:pt idx="0">
                  <c:v>PFS Recommended</c:v>
                </c:pt>
              </c:strCache>
            </c:strRef>
          </c:tx>
          <c:spPr>
            <a:ln w="19050" cap="rnd">
              <a:solidFill>
                <a:srgbClr val="FFFF99"/>
              </a:solidFill>
              <a:round/>
            </a:ln>
            <a:effectLst>
              <a:outerShdw blurRad="57150" dist="19050" dir="5400000" algn="ctr" rotWithShape="0">
                <a:srgbClr val="000000">
                  <a:alpha val="63000"/>
                </a:srgbClr>
              </a:outerShdw>
            </a:effectLst>
          </c:spPr>
          <c:marker>
            <c:symbol val="none"/>
          </c:marker>
          <c:cat>
            <c:strRef>
              <c:f>Calculations!$AT$59:$AT$64</c:f>
              <c:strCache>
                <c:ptCount val="6"/>
                <c:pt idx="0">
                  <c:v>1  Net Tangible Assets</c:v>
                </c:pt>
                <c:pt idx="1">
                  <c:v>2 Liquid Assets</c:v>
                </c:pt>
                <c:pt idx="2">
                  <c:v>3 Working Capital</c:v>
                </c:pt>
                <c:pt idx="3">
                  <c:v>4 Profitability</c:v>
                </c:pt>
                <c:pt idx="4">
                  <c:v>5 Net Cashflows</c:v>
                </c:pt>
                <c:pt idx="5">
                  <c:v>6 Capitalisation</c:v>
                </c:pt>
              </c:strCache>
            </c:strRef>
          </c:cat>
          <c:val>
            <c:numRef>
              <c:f>Calculations!$AX$59:$AX$64</c:f>
              <c:numCache>
                <c:formatCode>0.00</c:formatCode>
                <c:ptCount val="6"/>
                <c:pt idx="0">
                  <c:v>1</c:v>
                </c:pt>
                <c:pt idx="1">
                  <c:v>1</c:v>
                </c:pt>
                <c:pt idx="2">
                  <c:v>1</c:v>
                </c:pt>
                <c:pt idx="3">
                  <c:v>1</c:v>
                </c:pt>
                <c:pt idx="4">
                  <c:v>1</c:v>
                </c:pt>
                <c:pt idx="5">
                  <c:v>1</c:v>
                </c:pt>
              </c:numCache>
            </c:numRef>
          </c:val>
        </c:ser>
        <c:dLbls>
          <c:showLegendKey val="0"/>
          <c:showVal val="0"/>
          <c:showCatName val="0"/>
          <c:showSerName val="0"/>
          <c:showPercent val="0"/>
          <c:showBubbleSize val="0"/>
        </c:dLbls>
        <c:axId val="44143360"/>
        <c:axId val="44146048"/>
      </c:radarChart>
      <c:catAx>
        <c:axId val="44143360"/>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44146048"/>
        <c:crosses val="autoZero"/>
        <c:auto val="1"/>
        <c:lblAlgn val="ctr"/>
        <c:lblOffset val="100"/>
        <c:noMultiLvlLbl val="0"/>
      </c:catAx>
      <c:valAx>
        <c:axId val="44146048"/>
        <c:scaling>
          <c:orientation val="minMax"/>
          <c:min val="-5"/>
        </c:scaling>
        <c:delete val="0"/>
        <c:axPos val="l"/>
        <c:majorGridlines>
          <c:spPr>
            <a:ln w="9525" cap="flat" cmpd="sng" algn="ctr">
              <a:solidFill>
                <a:schemeClr val="lt1">
                  <a:lumMod val="95000"/>
                  <a:alpha val="10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44143360"/>
        <c:crosses val="autoZero"/>
        <c:crossBetween val="between"/>
        <c:majorUnit val="1"/>
        <c:minorUnit val="1"/>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4803149606299213" l="0.70866141732283472" r="0.70866141732283472" t="0.74803149606299213" header="0.31496062992125984" footer="0.31496062992125984"/>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NZ"/>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Calculations!$AN$58</c:f>
              <c:strCache>
                <c:ptCount val="1"/>
                <c:pt idx="0">
                  <c:v>Result Latest</c:v>
                </c:pt>
              </c:strCache>
            </c:strRef>
          </c:tx>
          <c:spPr>
            <a:ln w="28575" cap="rnd">
              <a:solidFill>
                <a:schemeClr val="accent1"/>
              </a:solidFill>
              <a:round/>
            </a:ln>
            <a:effectLst/>
          </c:spPr>
          <c:marker>
            <c:symbol val="none"/>
          </c:marker>
          <c:cat>
            <c:strRef>
              <c:f>Calculations!$AM$59:$AM$64</c:f>
              <c:strCache>
                <c:ptCount val="6"/>
                <c:pt idx="0">
                  <c:v>1  Net Tangible Assets</c:v>
                </c:pt>
                <c:pt idx="1">
                  <c:v>2 Liquid Assets</c:v>
                </c:pt>
                <c:pt idx="2">
                  <c:v>3 Working Capital</c:v>
                </c:pt>
                <c:pt idx="3">
                  <c:v>4 Profitability</c:v>
                </c:pt>
                <c:pt idx="4">
                  <c:v>5 Net Cashflows</c:v>
                </c:pt>
                <c:pt idx="5">
                  <c:v>6 Capitalisation</c:v>
                </c:pt>
              </c:strCache>
            </c:strRef>
          </c:cat>
          <c:val>
            <c:numRef>
              <c:f>Calculations!$AN$59:$AN$64</c:f>
              <c:numCache>
                <c:formatCode>0.00</c:formatCode>
                <c:ptCount val="6"/>
                <c:pt idx="0">
                  <c:v>0</c:v>
                </c:pt>
                <c:pt idx="1">
                  <c:v>0</c:v>
                </c:pt>
                <c:pt idx="2">
                  <c:v>0</c:v>
                </c:pt>
                <c:pt idx="3">
                  <c:v>0</c:v>
                </c:pt>
                <c:pt idx="4">
                  <c:v>0</c:v>
                </c:pt>
                <c:pt idx="5">
                  <c:v>0</c:v>
                </c:pt>
              </c:numCache>
            </c:numRef>
          </c:val>
        </c:ser>
        <c:ser>
          <c:idx val="1"/>
          <c:order val="1"/>
          <c:tx>
            <c:strRef>
              <c:f>Calculations!$AO$58</c:f>
              <c:strCache>
                <c:ptCount val="1"/>
                <c:pt idx="0">
                  <c:v>Result Forecast</c:v>
                </c:pt>
              </c:strCache>
            </c:strRef>
          </c:tx>
          <c:spPr>
            <a:ln w="28575" cap="rnd">
              <a:solidFill>
                <a:schemeClr val="accent2"/>
              </a:solidFill>
              <a:round/>
            </a:ln>
            <a:effectLst/>
          </c:spPr>
          <c:marker>
            <c:symbol val="none"/>
          </c:marker>
          <c:cat>
            <c:strRef>
              <c:f>Calculations!$AM$59:$AM$64</c:f>
              <c:strCache>
                <c:ptCount val="6"/>
                <c:pt idx="0">
                  <c:v>1  Net Tangible Assets</c:v>
                </c:pt>
                <c:pt idx="1">
                  <c:v>2 Liquid Assets</c:v>
                </c:pt>
                <c:pt idx="2">
                  <c:v>3 Working Capital</c:v>
                </c:pt>
                <c:pt idx="3">
                  <c:v>4 Profitability</c:v>
                </c:pt>
                <c:pt idx="4">
                  <c:v>5 Net Cashflows</c:v>
                </c:pt>
                <c:pt idx="5">
                  <c:v>6 Capitalisation</c:v>
                </c:pt>
              </c:strCache>
            </c:strRef>
          </c:cat>
          <c:val>
            <c:numRef>
              <c:f>Calculations!$AO$59:$AO$64</c:f>
              <c:numCache>
                <c:formatCode>0.00</c:formatCode>
                <c:ptCount val="6"/>
                <c:pt idx="0">
                  <c:v>0</c:v>
                </c:pt>
                <c:pt idx="1">
                  <c:v>0</c:v>
                </c:pt>
                <c:pt idx="2">
                  <c:v>0</c:v>
                </c:pt>
                <c:pt idx="3">
                  <c:v>0</c:v>
                </c:pt>
                <c:pt idx="4">
                  <c:v>0</c:v>
                </c:pt>
                <c:pt idx="5">
                  <c:v>0</c:v>
                </c:pt>
              </c:numCache>
            </c:numRef>
          </c:val>
        </c:ser>
        <c:ser>
          <c:idx val="2"/>
          <c:order val="2"/>
          <c:tx>
            <c:strRef>
              <c:f>Calculations!$AP$58</c:f>
              <c:strCache>
                <c:ptCount val="1"/>
                <c:pt idx="0">
                  <c:v>PFS Minimum</c:v>
                </c:pt>
              </c:strCache>
            </c:strRef>
          </c:tx>
          <c:spPr>
            <a:ln w="28575" cap="rnd">
              <a:solidFill>
                <a:schemeClr val="accent3"/>
              </a:solidFill>
              <a:round/>
            </a:ln>
            <a:effectLst/>
          </c:spPr>
          <c:marker>
            <c:symbol val="none"/>
          </c:marker>
          <c:cat>
            <c:strRef>
              <c:f>Calculations!$AM$59:$AM$64</c:f>
              <c:strCache>
                <c:ptCount val="6"/>
                <c:pt idx="0">
                  <c:v>1  Net Tangible Assets</c:v>
                </c:pt>
                <c:pt idx="1">
                  <c:v>2 Liquid Assets</c:v>
                </c:pt>
                <c:pt idx="2">
                  <c:v>3 Working Capital</c:v>
                </c:pt>
                <c:pt idx="3">
                  <c:v>4 Profitability</c:v>
                </c:pt>
                <c:pt idx="4">
                  <c:v>5 Net Cashflows</c:v>
                </c:pt>
                <c:pt idx="5">
                  <c:v>6 Capitalisation</c:v>
                </c:pt>
              </c:strCache>
            </c:strRef>
          </c:cat>
          <c:val>
            <c:numRef>
              <c:f>Calculations!$AP$59:$AP$64</c:f>
              <c:numCache>
                <c:formatCode>0.00</c:formatCode>
                <c:ptCount val="6"/>
                <c:pt idx="0">
                  <c:v>0.02</c:v>
                </c:pt>
                <c:pt idx="1">
                  <c:v>0.05</c:v>
                </c:pt>
                <c:pt idx="2">
                  <c:v>0.75</c:v>
                </c:pt>
                <c:pt idx="3">
                  <c:v>-0.08</c:v>
                </c:pt>
                <c:pt idx="4">
                  <c:v>1</c:v>
                </c:pt>
                <c:pt idx="5">
                  <c:v>0.5</c:v>
                </c:pt>
              </c:numCache>
            </c:numRef>
          </c:val>
        </c:ser>
        <c:ser>
          <c:idx val="3"/>
          <c:order val="3"/>
          <c:tx>
            <c:strRef>
              <c:f>Calculations!$AQ$58</c:f>
              <c:strCache>
                <c:ptCount val="1"/>
                <c:pt idx="0">
                  <c:v>PFS Recommended</c:v>
                </c:pt>
              </c:strCache>
            </c:strRef>
          </c:tx>
          <c:spPr>
            <a:ln w="28575" cap="rnd">
              <a:solidFill>
                <a:schemeClr val="accent4"/>
              </a:solidFill>
              <a:round/>
            </a:ln>
            <a:effectLst/>
          </c:spPr>
          <c:marker>
            <c:symbol val="none"/>
          </c:marker>
          <c:cat>
            <c:strRef>
              <c:f>Calculations!$AM$59:$AM$64</c:f>
              <c:strCache>
                <c:ptCount val="6"/>
                <c:pt idx="0">
                  <c:v>1  Net Tangible Assets</c:v>
                </c:pt>
                <c:pt idx="1">
                  <c:v>2 Liquid Assets</c:v>
                </c:pt>
                <c:pt idx="2">
                  <c:v>3 Working Capital</c:v>
                </c:pt>
                <c:pt idx="3">
                  <c:v>4 Profitability</c:v>
                </c:pt>
                <c:pt idx="4">
                  <c:v>5 Net Cashflows</c:v>
                </c:pt>
                <c:pt idx="5">
                  <c:v>6 Capitalisation</c:v>
                </c:pt>
              </c:strCache>
            </c:strRef>
          </c:cat>
          <c:val>
            <c:numRef>
              <c:f>Calculations!$AQ$59:$AQ$64</c:f>
              <c:numCache>
                <c:formatCode>0.00</c:formatCode>
                <c:ptCount val="6"/>
                <c:pt idx="0">
                  <c:v>0.02</c:v>
                </c:pt>
                <c:pt idx="1">
                  <c:v>0.08</c:v>
                </c:pt>
                <c:pt idx="2">
                  <c:v>1</c:v>
                </c:pt>
                <c:pt idx="3">
                  <c:v>0.03</c:v>
                </c:pt>
                <c:pt idx="4">
                  <c:v>1.1100000000000001</c:v>
                </c:pt>
                <c:pt idx="5">
                  <c:v>0.76</c:v>
                </c:pt>
              </c:numCache>
            </c:numRef>
          </c:val>
        </c:ser>
        <c:ser>
          <c:idx val="4"/>
          <c:order val="4"/>
          <c:tx>
            <c:strRef>
              <c:f>Calculations!$AR$58</c:f>
              <c:strCache>
                <c:ptCount val="1"/>
                <c:pt idx="0">
                  <c:v>Conversion factor to get min PFS as 1</c:v>
                </c:pt>
              </c:strCache>
            </c:strRef>
          </c:tx>
          <c:spPr>
            <a:ln w="28575" cap="rnd">
              <a:solidFill>
                <a:schemeClr val="accent5"/>
              </a:solidFill>
              <a:round/>
            </a:ln>
            <a:effectLst/>
          </c:spPr>
          <c:marker>
            <c:symbol val="none"/>
          </c:marker>
          <c:cat>
            <c:strRef>
              <c:f>Calculations!$AM$59:$AM$64</c:f>
              <c:strCache>
                <c:ptCount val="6"/>
                <c:pt idx="0">
                  <c:v>1  Net Tangible Assets</c:v>
                </c:pt>
                <c:pt idx="1">
                  <c:v>2 Liquid Assets</c:v>
                </c:pt>
                <c:pt idx="2">
                  <c:v>3 Working Capital</c:v>
                </c:pt>
                <c:pt idx="3">
                  <c:v>4 Profitability</c:v>
                </c:pt>
                <c:pt idx="4">
                  <c:v>5 Net Cashflows</c:v>
                </c:pt>
                <c:pt idx="5">
                  <c:v>6 Capitalisation</c:v>
                </c:pt>
              </c:strCache>
            </c:strRef>
          </c:cat>
          <c:val>
            <c:numRef>
              <c:f>Calculations!$AR$59:$AR$64</c:f>
              <c:numCache>
                <c:formatCode>0.00</c:formatCode>
                <c:ptCount val="6"/>
                <c:pt idx="0">
                  <c:v>50</c:v>
                </c:pt>
                <c:pt idx="1">
                  <c:v>12.5</c:v>
                </c:pt>
                <c:pt idx="2">
                  <c:v>1</c:v>
                </c:pt>
                <c:pt idx="3">
                  <c:v>33.333333333333336</c:v>
                </c:pt>
                <c:pt idx="4">
                  <c:v>0.9009009009009008</c:v>
                </c:pt>
                <c:pt idx="5">
                  <c:v>1.3157894736842106</c:v>
                </c:pt>
              </c:numCache>
            </c:numRef>
          </c:val>
        </c:ser>
        <c:dLbls>
          <c:showLegendKey val="0"/>
          <c:showVal val="0"/>
          <c:showCatName val="0"/>
          <c:showSerName val="0"/>
          <c:showPercent val="0"/>
          <c:showBubbleSize val="0"/>
        </c:dLbls>
        <c:axId val="44327680"/>
        <c:axId val="44331392"/>
      </c:radarChart>
      <c:catAx>
        <c:axId val="44327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331392"/>
        <c:crosses val="autoZero"/>
        <c:auto val="1"/>
        <c:lblAlgn val="ctr"/>
        <c:lblOffset val="100"/>
        <c:noMultiLvlLbl val="0"/>
      </c:catAx>
      <c:valAx>
        <c:axId val="4433139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32768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1928813</xdr:colOff>
      <xdr:row>2</xdr:row>
      <xdr:rowOff>166689</xdr:rowOff>
    </xdr:to>
    <xdr:pic>
      <xdr:nvPicPr>
        <xdr:cNvPr id="3" name="Picture 2" descr="C:\Users\blynch\Objective\blynch\objective-8008\Objects\TEC-Left_Aligned-CMYK.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
          <a:ext cx="2309813" cy="833438"/>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75</xdr:row>
      <xdr:rowOff>176212</xdr:rowOff>
    </xdr:from>
    <xdr:to>
      <xdr:col>4</xdr:col>
      <xdr:colOff>9525</xdr:colOff>
      <xdr:row>99</xdr:row>
      <xdr:rowOff>47626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37</xdr:col>
      <xdr:colOff>11907</xdr:colOff>
      <xdr:row>68</xdr:row>
      <xdr:rowOff>3570</xdr:rowOff>
    </xdr:from>
    <xdr:to>
      <xdr:col>42</xdr:col>
      <xdr:colOff>416719</xdr:colOff>
      <xdr:row>80</xdr:row>
      <xdr:rowOff>79770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42862</xdr:colOff>
      <xdr:row>77</xdr:row>
      <xdr:rowOff>76200</xdr:rowOff>
    </xdr:from>
    <xdr:to>
      <xdr:col>4</xdr:col>
      <xdr:colOff>445294</xdr:colOff>
      <xdr:row>100</xdr:row>
      <xdr:rowOff>85725</xdr:rowOff>
    </xdr:to>
    <xdr:pic>
      <xdr:nvPicPr>
        <xdr:cNvPr id="4" name="Picture 3"/>
        <xdr:cNvPicPr>
          <a:picLocks noChangeAspect="1"/>
        </xdr:cNvPicPr>
      </xdr:nvPicPr>
      <xdr:blipFill>
        <a:blip xmlns:r="http://schemas.openxmlformats.org/officeDocument/2006/relationships" r:embed="rId1"/>
        <a:stretch>
          <a:fillRect/>
        </a:stretch>
      </xdr:blipFill>
      <xdr:spPr>
        <a:xfrm>
          <a:off x="42862" y="31853981"/>
          <a:ext cx="6319838" cy="43910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1"/>
  <sheetViews>
    <sheetView tabSelected="1" zoomScale="80" zoomScaleNormal="80" workbookViewId="0">
      <selection activeCell="J14" sqref="J14"/>
    </sheetView>
  </sheetViews>
  <sheetFormatPr defaultRowHeight="15" x14ac:dyDescent="0.25"/>
  <cols>
    <col min="1" max="1" width="5.7109375" customWidth="1"/>
    <col min="2" max="2" width="43.42578125" customWidth="1"/>
    <col min="3" max="3" width="12.140625" customWidth="1"/>
    <col min="4" max="4" width="14.140625" customWidth="1"/>
    <col min="5" max="5" width="14.42578125" customWidth="1"/>
    <col min="6" max="6" width="14" customWidth="1"/>
    <col min="7" max="7" width="13.7109375" customWidth="1"/>
    <col min="8" max="10" width="15.28515625" customWidth="1"/>
    <col min="11" max="11" width="21.140625" customWidth="1"/>
    <col min="12" max="12" width="15.28515625" customWidth="1"/>
    <col min="15" max="15" width="10.85546875" customWidth="1"/>
    <col min="22" max="22" width="11.42578125" customWidth="1"/>
    <col min="27" max="27" width="27.140625" customWidth="1"/>
    <col min="34" max="34" width="27.140625" customWidth="1"/>
    <col min="41" max="41" width="27.28515625" customWidth="1"/>
  </cols>
  <sheetData>
    <row r="1" spans="1:12" ht="26.25" x14ac:dyDescent="0.4">
      <c r="A1" s="95"/>
    </row>
    <row r="2" spans="1:12" ht="26.25" x14ac:dyDescent="0.4">
      <c r="A2" s="95"/>
    </row>
    <row r="3" spans="1:12" ht="26.25" x14ac:dyDescent="0.4">
      <c r="A3" s="95"/>
    </row>
    <row r="4" spans="1:12" ht="26.25" x14ac:dyDescent="0.4">
      <c r="A4" s="95" t="s">
        <v>102</v>
      </c>
    </row>
    <row r="5" spans="1:12" ht="26.25" x14ac:dyDescent="0.4">
      <c r="A5" s="95"/>
    </row>
    <row r="6" spans="1:12" ht="26.25" x14ac:dyDescent="0.4">
      <c r="A6" s="95" t="s">
        <v>52</v>
      </c>
    </row>
    <row r="7" spans="1:12" s="96" customFormat="1" ht="15.75" x14ac:dyDescent="0.25">
      <c r="B7" s="97"/>
    </row>
    <row r="8" spans="1:12" s="96" customFormat="1" ht="15.75" x14ac:dyDescent="0.25">
      <c r="B8" s="97" t="s">
        <v>0</v>
      </c>
    </row>
    <row r="9" spans="1:12" s="96" customFormat="1" ht="15.75" x14ac:dyDescent="0.25">
      <c r="A9" s="98">
        <v>1</v>
      </c>
      <c r="B9" s="96" t="s">
        <v>103</v>
      </c>
    </row>
    <row r="10" spans="1:12" s="96" customFormat="1" ht="15.75" x14ac:dyDescent="0.25">
      <c r="A10" s="98">
        <v>2</v>
      </c>
      <c r="B10" s="96" t="s">
        <v>51</v>
      </c>
      <c r="J10" s="100"/>
      <c r="K10" s="100"/>
      <c r="L10" s="100"/>
    </row>
    <row r="11" spans="1:12" s="96" customFormat="1" ht="15.75" x14ac:dyDescent="0.25">
      <c r="A11" s="98"/>
      <c r="B11" s="99" t="s">
        <v>1</v>
      </c>
      <c r="D11" s="99"/>
      <c r="J11" s="100"/>
      <c r="K11" s="100"/>
      <c r="L11" s="100"/>
    </row>
    <row r="12" spans="1:12" s="96" customFormat="1" ht="15.75" x14ac:dyDescent="0.25">
      <c r="A12" s="98">
        <v>3</v>
      </c>
      <c r="B12" s="96" t="s">
        <v>104</v>
      </c>
      <c r="D12" s="99"/>
      <c r="J12" s="100"/>
      <c r="K12" s="100"/>
      <c r="L12" s="100"/>
    </row>
    <row r="13" spans="1:12" s="96" customFormat="1" ht="15.75" x14ac:dyDescent="0.25">
      <c r="A13" s="98"/>
    </row>
    <row r="14" spans="1:12" s="96" customFormat="1" ht="15.75" x14ac:dyDescent="0.25">
      <c r="A14" s="98"/>
      <c r="B14" s="97" t="s">
        <v>2</v>
      </c>
    </row>
    <row r="15" spans="1:12" s="96" customFormat="1" ht="15.75" x14ac:dyDescent="0.25">
      <c r="A15" s="98">
        <v>4</v>
      </c>
      <c r="B15" s="96" t="s">
        <v>105</v>
      </c>
    </row>
    <row r="16" spans="1:12" s="96" customFormat="1" ht="15.75" x14ac:dyDescent="0.25">
      <c r="A16" s="98">
        <v>5</v>
      </c>
      <c r="B16" s="96" t="s">
        <v>106</v>
      </c>
      <c r="D16" s="101"/>
    </row>
    <row r="17" spans="1:12" s="96" customFormat="1" ht="15.75" x14ac:dyDescent="0.25">
      <c r="A17" s="98">
        <v>6</v>
      </c>
      <c r="B17" s="96" t="s">
        <v>26</v>
      </c>
      <c r="D17" s="101"/>
    </row>
    <row r="18" spans="1:12" s="96" customFormat="1" ht="15.75" x14ac:dyDescent="0.25">
      <c r="A18" s="98">
        <v>7</v>
      </c>
      <c r="B18" s="96" t="s">
        <v>53</v>
      </c>
    </row>
    <row r="19" spans="1:12" s="96" customFormat="1" ht="15.75" x14ac:dyDescent="0.25">
      <c r="A19" s="98">
        <v>8</v>
      </c>
      <c r="B19" s="101" t="s">
        <v>79</v>
      </c>
    </row>
    <row r="20" spans="1:12" s="96" customFormat="1" ht="15.75" x14ac:dyDescent="0.25">
      <c r="A20" s="98">
        <v>9</v>
      </c>
      <c r="B20" s="101" t="s">
        <v>107</v>
      </c>
    </row>
    <row r="21" spans="1:12" s="96" customFormat="1" ht="15.75" x14ac:dyDescent="0.25">
      <c r="A21" s="98">
        <v>10</v>
      </c>
      <c r="B21" s="96" t="s">
        <v>108</v>
      </c>
    </row>
    <row r="22" spans="1:12" s="96" customFormat="1" ht="15.75" x14ac:dyDescent="0.25">
      <c r="A22" s="98">
        <v>11</v>
      </c>
      <c r="B22" s="96" t="s">
        <v>109</v>
      </c>
    </row>
    <row r="23" spans="1:12" s="96" customFormat="1" ht="15.75" x14ac:dyDescent="0.25">
      <c r="A23" s="98">
        <v>12</v>
      </c>
      <c r="B23" s="96" t="s">
        <v>110</v>
      </c>
    </row>
    <row r="24" spans="1:12" s="96" customFormat="1" ht="15.75" x14ac:dyDescent="0.25"/>
    <row r="25" spans="1:12" s="96" customFormat="1" ht="15.75" x14ac:dyDescent="0.25">
      <c r="A25" s="98"/>
      <c r="B25" s="97" t="s">
        <v>3</v>
      </c>
    </row>
    <row r="26" spans="1:12" s="96" customFormat="1" ht="30.75" customHeight="1" x14ac:dyDescent="0.25">
      <c r="A26" s="104">
        <v>13</v>
      </c>
      <c r="B26" s="216" t="s">
        <v>111</v>
      </c>
      <c r="C26" s="217"/>
      <c r="D26" s="217"/>
      <c r="E26" s="217"/>
      <c r="F26" s="217"/>
      <c r="G26" s="217"/>
      <c r="H26" s="217"/>
      <c r="I26" s="217"/>
      <c r="J26" s="217"/>
      <c r="K26" s="217"/>
      <c r="L26" s="105"/>
    </row>
    <row r="27" spans="1:12" s="96" customFormat="1" ht="15.75" x14ac:dyDescent="0.25">
      <c r="A27" s="104">
        <v>14</v>
      </c>
      <c r="B27" s="96" t="s">
        <v>80</v>
      </c>
    </row>
    <row r="28" spans="1:12" s="96" customFormat="1" ht="30" customHeight="1" x14ac:dyDescent="0.25">
      <c r="A28" s="104">
        <v>15</v>
      </c>
      <c r="B28" s="216" t="s">
        <v>112</v>
      </c>
      <c r="C28" s="217"/>
      <c r="D28" s="217"/>
      <c r="E28" s="217"/>
      <c r="F28" s="217"/>
      <c r="G28" s="217"/>
      <c r="H28" s="217"/>
      <c r="I28" s="217"/>
      <c r="J28" s="217"/>
      <c r="K28" s="217"/>
      <c r="L28" s="105"/>
    </row>
    <row r="29" spans="1:12" s="96" customFormat="1" ht="15.75" x14ac:dyDescent="0.25">
      <c r="A29" s="98">
        <v>16</v>
      </c>
      <c r="B29" s="96" t="s">
        <v>54</v>
      </c>
    </row>
    <row r="30" spans="1:12" ht="15.75" x14ac:dyDescent="0.25">
      <c r="A30" s="98"/>
    </row>
    <row r="100" spans="2:2" x14ac:dyDescent="0.25">
      <c r="B100" t="s">
        <v>75</v>
      </c>
    </row>
    <row r="101" spans="2:2" x14ac:dyDescent="0.25">
      <c r="B101" t="s">
        <v>76</v>
      </c>
    </row>
  </sheetData>
  <sheetProtection password="C899" sheet="1" objects="1" scenarios="1"/>
  <mergeCells count="2">
    <mergeCell ref="B26:K26"/>
    <mergeCell ref="B28:K28"/>
  </mergeCells>
  <pageMargins left="0.7" right="0.7" top="0.75" bottom="0.75" header="0.3" footer="0.3"/>
  <pageSetup paperSize="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151"/>
  <sheetViews>
    <sheetView zoomScale="80" zoomScaleNormal="80" workbookViewId="0">
      <pane xSplit="1" ySplit="7" topLeftCell="B8" activePane="bottomRight" state="frozen"/>
      <selection pane="topRight" activeCell="B1" sqref="B1"/>
      <selection pane="bottomLeft" activeCell="A7" sqref="A7"/>
      <selection pane="bottomRight"/>
    </sheetView>
  </sheetViews>
  <sheetFormatPr defaultRowHeight="15" x14ac:dyDescent="0.25"/>
  <cols>
    <col min="1" max="1" width="44.7109375" customWidth="1"/>
    <col min="2" max="2" width="14.85546875" customWidth="1"/>
    <col min="3" max="4" width="14.7109375" customWidth="1"/>
    <col min="5" max="5" width="15.140625" customWidth="1"/>
    <col min="6" max="7" width="14.7109375" customWidth="1"/>
    <col min="8" max="9" width="15.140625" customWidth="1"/>
    <col min="10" max="10" width="104.5703125" customWidth="1"/>
    <col min="11" max="11" width="59.85546875" customWidth="1"/>
    <col min="15" max="15" width="27.28515625" customWidth="1"/>
    <col min="32" max="32" width="27" customWidth="1"/>
    <col min="36" max="36" width="13.28515625" customWidth="1"/>
    <col min="39" max="39" width="26.140625" customWidth="1"/>
    <col min="43" max="43" width="13.42578125" customWidth="1"/>
    <col min="44" max="44" width="15.28515625" customWidth="1"/>
    <col min="46" max="46" width="27.42578125" customWidth="1"/>
    <col min="50" max="50" width="13.140625" customWidth="1"/>
    <col min="52" max="52" width="29.140625" customWidth="1"/>
    <col min="53" max="53" width="54.7109375" customWidth="1"/>
  </cols>
  <sheetData>
    <row r="1" spans="1:10" ht="26.25" x14ac:dyDescent="0.4">
      <c r="A1" s="95" t="s">
        <v>128</v>
      </c>
    </row>
    <row r="2" spans="1:10" ht="26.25" x14ac:dyDescent="0.4">
      <c r="A2" s="95"/>
    </row>
    <row r="3" spans="1:10" x14ac:dyDescent="0.25">
      <c r="A3" s="1" t="s">
        <v>113</v>
      </c>
    </row>
    <row r="4" spans="1:10" x14ac:dyDescent="0.25">
      <c r="A4" s="3"/>
    </row>
    <row r="5" spans="1:10" ht="26.25" x14ac:dyDescent="0.4">
      <c r="A5" s="4" t="s">
        <v>132</v>
      </c>
    </row>
    <row r="6" spans="1:10" s="195" customFormat="1" ht="30" customHeight="1" x14ac:dyDescent="0.3">
      <c r="A6" s="193"/>
      <c r="B6" s="220" t="s">
        <v>163</v>
      </c>
      <c r="C6" s="219"/>
      <c r="D6" s="220" t="s">
        <v>82</v>
      </c>
      <c r="E6" s="219"/>
      <c r="F6" s="218" t="s">
        <v>129</v>
      </c>
      <c r="G6" s="219"/>
      <c r="H6" s="218" t="s">
        <v>130</v>
      </c>
      <c r="I6" s="219"/>
      <c r="J6" s="194"/>
    </row>
    <row r="7" spans="1:10" s="195" customFormat="1" ht="33.75" customHeight="1" x14ac:dyDescent="0.3">
      <c r="A7" s="196" t="s">
        <v>131</v>
      </c>
      <c r="B7" s="197" t="s">
        <v>81</v>
      </c>
      <c r="C7" s="197" t="s">
        <v>37</v>
      </c>
      <c r="D7" s="197" t="s">
        <v>83</v>
      </c>
      <c r="E7" s="197" t="s">
        <v>84</v>
      </c>
      <c r="F7" s="197" t="s">
        <v>85</v>
      </c>
      <c r="G7" s="197" t="s">
        <v>37</v>
      </c>
      <c r="H7" s="197" t="s">
        <v>85</v>
      </c>
      <c r="I7" s="197" t="s">
        <v>37</v>
      </c>
      <c r="J7" s="198" t="s">
        <v>65</v>
      </c>
    </row>
    <row r="8" spans="1:10" ht="18.75" x14ac:dyDescent="0.3">
      <c r="A8" s="183" t="s">
        <v>133</v>
      </c>
      <c r="D8" s="115"/>
      <c r="E8" s="115"/>
      <c r="F8" s="163"/>
      <c r="G8" s="165"/>
      <c r="H8" s="163"/>
      <c r="I8" s="116"/>
      <c r="J8" s="176"/>
    </row>
    <row r="9" spans="1:10" ht="30" x14ac:dyDescent="0.25">
      <c r="A9" s="180" t="s">
        <v>134</v>
      </c>
      <c r="B9" s="7"/>
      <c r="C9" s="8"/>
      <c r="D9" s="117"/>
      <c r="E9" s="117"/>
      <c r="F9" s="164"/>
      <c r="G9" s="117"/>
      <c r="H9" s="164"/>
      <c r="I9" s="118"/>
      <c r="J9" s="177" t="s">
        <v>115</v>
      </c>
    </row>
    <row r="10" spans="1:10" ht="22.5" customHeight="1" x14ac:dyDescent="0.25">
      <c r="A10" s="180" t="s">
        <v>135</v>
      </c>
      <c r="B10" s="11"/>
      <c r="C10" s="12"/>
      <c r="D10" s="119"/>
      <c r="E10" s="119"/>
      <c r="F10" s="164"/>
      <c r="G10" s="117"/>
      <c r="H10" s="164"/>
      <c r="I10" s="118"/>
      <c r="J10" s="177" t="s">
        <v>116</v>
      </c>
    </row>
    <row r="11" spans="1:10" ht="30" x14ac:dyDescent="0.25">
      <c r="A11" s="180" t="s">
        <v>136</v>
      </c>
      <c r="B11" s="14"/>
      <c r="C11" s="15"/>
      <c r="D11" s="119"/>
      <c r="E11" s="119"/>
      <c r="F11" s="164"/>
      <c r="G11" s="117"/>
      <c r="H11" s="164"/>
      <c r="I11" s="118"/>
      <c r="J11" s="177" t="s">
        <v>117</v>
      </c>
    </row>
    <row r="12" spans="1:10" ht="22.5" customHeight="1" x14ac:dyDescent="0.25">
      <c r="A12" s="180" t="s">
        <v>137</v>
      </c>
      <c r="B12" s="14"/>
      <c r="C12" s="15"/>
      <c r="D12" s="119"/>
      <c r="E12" s="119"/>
      <c r="F12" s="164"/>
      <c r="G12" s="117"/>
      <c r="H12" s="164"/>
      <c r="I12" s="118"/>
      <c r="J12" s="177" t="s">
        <v>66</v>
      </c>
    </row>
    <row r="13" spans="1:10" ht="30" x14ac:dyDescent="0.25">
      <c r="A13" s="180" t="s">
        <v>69</v>
      </c>
      <c r="B13" s="17"/>
      <c r="C13" s="18"/>
      <c r="D13" s="119"/>
      <c r="E13" s="119"/>
      <c r="F13" s="164"/>
      <c r="G13" s="117"/>
      <c r="H13" s="164"/>
      <c r="I13" s="118"/>
      <c r="J13" s="177" t="s">
        <v>57</v>
      </c>
    </row>
    <row r="14" spans="1:10" x14ac:dyDescent="0.25">
      <c r="A14" s="181" t="s">
        <v>138</v>
      </c>
      <c r="B14" s="20" t="str">
        <f>IFERROR(+(B9-B10)/B11,"-")</f>
        <v>-</v>
      </c>
      <c r="C14" s="21" t="str">
        <f>IFERROR(+(C9-C10)/C11,"-")</f>
        <v>-</v>
      </c>
      <c r="D14" s="120">
        <v>0.02</v>
      </c>
      <c r="E14" s="121" t="s">
        <v>5</v>
      </c>
      <c r="F14" s="122" t="str">
        <f>IF(B14="-","-",IF(B14&gt;0.0199999,"PASS","FAIL"))</f>
        <v>-</v>
      </c>
      <c r="G14" s="166" t="str">
        <f>IF(C14="-","-",IF(C14&gt;0.0199999,"PASS","FAIL"))</f>
        <v>-</v>
      </c>
      <c r="H14" s="130" t="str">
        <f>IF(B14="-","-",IF(B14&gt;0.02,"PASS","FAIL"))</f>
        <v>-</v>
      </c>
      <c r="I14" s="123" t="str">
        <f>IF(C14="-","-",IF(C14&gt;0.02,"PASS","FAIL"))</f>
        <v>-</v>
      </c>
      <c r="J14" s="177" t="s">
        <v>167</v>
      </c>
    </row>
    <row r="15" spans="1:10" ht="30" customHeight="1" x14ac:dyDescent="0.25">
      <c r="A15" s="181" t="s">
        <v>139</v>
      </c>
      <c r="B15" s="20" t="str">
        <f>IFERROR(+(B9-B10)/(B12-B10-B13),"-")</f>
        <v>-</v>
      </c>
      <c r="C15" s="21" t="str">
        <f>IFERROR(+(C9-C10)/(C12-C10-C13),"-")</f>
        <v>-</v>
      </c>
      <c r="D15" s="120" t="s">
        <v>6</v>
      </c>
      <c r="E15" s="121" t="s">
        <v>7</v>
      </c>
      <c r="F15" s="124" t="s">
        <v>8</v>
      </c>
      <c r="G15" s="128" t="s">
        <v>8</v>
      </c>
      <c r="H15" s="130" t="str">
        <f>IF(B15="-","-",IF(B15&gt;0.6,"PASS","FAIL"))</f>
        <v>-</v>
      </c>
      <c r="I15" s="123" t="str">
        <f>IF(C15="-","-",IF(C15&gt;0.6,"PASS","FAIL"))</f>
        <v>-</v>
      </c>
      <c r="J15" s="177" t="s">
        <v>119</v>
      </c>
    </row>
    <row r="16" spans="1:10" x14ac:dyDescent="0.25">
      <c r="A16" s="182" t="s">
        <v>165</v>
      </c>
      <c r="B16" s="26">
        <f t="shared" ref="B16:C16" si="0">+B9-B10</f>
        <v>0</v>
      </c>
      <c r="C16" s="27">
        <f t="shared" si="0"/>
        <v>0</v>
      </c>
      <c r="D16" s="125">
        <v>50000</v>
      </c>
      <c r="E16" s="126" t="s">
        <v>6</v>
      </c>
      <c r="F16" s="127" t="str">
        <f>IF(ISNUMBER(B9),IF(B16&gt;50000,"PASS","FAIL"),"-")</f>
        <v>-</v>
      </c>
      <c r="G16" s="167" t="str">
        <f>IF(ISNUMBER(C9),IF(C16&gt;50000,"PASS","FAIL"),"-")</f>
        <v>-</v>
      </c>
      <c r="H16" s="124" t="s">
        <v>8</v>
      </c>
      <c r="I16" s="123" t="s">
        <v>8</v>
      </c>
      <c r="J16" s="177" t="s">
        <v>120</v>
      </c>
    </row>
    <row r="17" spans="1:10" x14ac:dyDescent="0.25">
      <c r="A17" s="176"/>
      <c r="D17" s="115"/>
      <c r="E17" s="115"/>
      <c r="F17" s="163"/>
      <c r="G17" s="165"/>
      <c r="H17" s="163"/>
      <c r="I17" s="116"/>
      <c r="J17" s="177"/>
    </row>
    <row r="18" spans="1:10" ht="18.75" x14ac:dyDescent="0.3">
      <c r="A18" s="183" t="s">
        <v>140</v>
      </c>
      <c r="D18" s="115"/>
      <c r="E18" s="115"/>
      <c r="F18" s="163"/>
      <c r="G18" s="165"/>
      <c r="H18" s="163"/>
      <c r="I18" s="116"/>
      <c r="J18" s="177"/>
    </row>
    <row r="19" spans="1:10" ht="30" x14ac:dyDescent="0.25">
      <c r="A19" s="180" t="s">
        <v>9</v>
      </c>
      <c r="B19" s="7"/>
      <c r="C19" s="8"/>
      <c r="D19" s="115"/>
      <c r="E19" s="115"/>
      <c r="F19" s="163"/>
      <c r="G19" s="165"/>
      <c r="H19" s="163"/>
      <c r="I19" s="116"/>
      <c r="J19" s="177" t="s">
        <v>55</v>
      </c>
    </row>
    <row r="20" spans="1:10" ht="30" customHeight="1" x14ac:dyDescent="0.25">
      <c r="A20" s="180" t="s">
        <v>141</v>
      </c>
      <c r="B20" s="11"/>
      <c r="C20" s="12"/>
      <c r="D20" s="115"/>
      <c r="E20" s="115"/>
      <c r="F20" s="163"/>
      <c r="G20" s="165"/>
      <c r="H20" s="163"/>
      <c r="I20" s="116"/>
      <c r="J20" s="177" t="s">
        <v>58</v>
      </c>
    </row>
    <row r="21" spans="1:10" ht="60" customHeight="1" x14ac:dyDescent="0.25">
      <c r="A21" s="180" t="s">
        <v>10</v>
      </c>
      <c r="B21" s="11"/>
      <c r="C21" s="12"/>
      <c r="D21" s="115"/>
      <c r="E21" s="115"/>
      <c r="F21" s="163"/>
      <c r="G21" s="165"/>
      <c r="H21" s="163"/>
      <c r="I21" s="116"/>
      <c r="J21" s="177" t="s">
        <v>87</v>
      </c>
    </row>
    <row r="22" spans="1:10" ht="60" customHeight="1" x14ac:dyDescent="0.25">
      <c r="A22" s="180" t="s">
        <v>21</v>
      </c>
      <c r="B22" s="17"/>
      <c r="C22" s="18"/>
      <c r="D22" s="115"/>
      <c r="E22" s="115"/>
      <c r="F22" s="163"/>
      <c r="G22" s="165"/>
      <c r="H22" s="163"/>
      <c r="I22" s="116"/>
      <c r="J22" s="177" t="s">
        <v>121</v>
      </c>
    </row>
    <row r="23" spans="1:10" ht="30" customHeight="1" x14ac:dyDescent="0.25">
      <c r="A23" s="181" t="s">
        <v>148</v>
      </c>
      <c r="B23" s="20" t="str">
        <f>IFERROR(+(B19+B20+B21)/B22,"-")</f>
        <v>-</v>
      </c>
      <c r="C23" s="21" t="str">
        <f>IFERROR(+(C19+C20+C21)/C22,"-")</f>
        <v>-</v>
      </c>
      <c r="D23" s="120">
        <v>0.05</v>
      </c>
      <c r="E23" s="129" t="s">
        <v>11</v>
      </c>
      <c r="F23" s="130" t="str">
        <f>IF(ISNUMBER(B19),IF(B23&gt;0.049999,"PASS","FAIL"),"-")</f>
        <v>-</v>
      </c>
      <c r="G23" s="124" t="str">
        <f>IF(ISNUMBER(C19),IF(C23&gt;0.049999,"PASS","FAIL"),"-")</f>
        <v>-</v>
      </c>
      <c r="H23" s="130" t="str">
        <f>IF(ISNUMBER(B19),IF(B23&gt;0.079999,"PASS","FAIL"),"-")</f>
        <v>-</v>
      </c>
      <c r="I23" s="123" t="str">
        <f>IF(ISNUMBER(C19),IF(C23&gt;0.079999,"PASS","FAIL"),"-")</f>
        <v>-</v>
      </c>
      <c r="J23" s="177" t="s">
        <v>118</v>
      </c>
    </row>
    <row r="24" spans="1:10" x14ac:dyDescent="0.25">
      <c r="A24" s="177"/>
      <c r="D24" s="115"/>
      <c r="E24" s="115"/>
      <c r="F24" s="163"/>
      <c r="G24" s="165"/>
      <c r="H24" s="163"/>
      <c r="I24" s="116"/>
      <c r="J24" s="177"/>
    </row>
    <row r="25" spans="1:10" ht="18.75" x14ac:dyDescent="0.3">
      <c r="A25" s="183" t="s">
        <v>142</v>
      </c>
      <c r="D25" s="115"/>
      <c r="E25" s="115"/>
      <c r="F25" s="163"/>
      <c r="G25" s="165"/>
      <c r="H25" s="163"/>
      <c r="I25" s="116"/>
      <c r="J25" s="177"/>
    </row>
    <row r="26" spans="1:10" ht="21.75" customHeight="1" x14ac:dyDescent="0.25">
      <c r="A26" s="180" t="s">
        <v>143</v>
      </c>
      <c r="B26" s="34"/>
      <c r="C26" s="172"/>
      <c r="D26" s="115"/>
      <c r="E26" s="115"/>
      <c r="F26" s="163"/>
      <c r="G26" s="165"/>
      <c r="H26" s="163"/>
      <c r="I26" s="116"/>
      <c r="J26" s="177" t="s">
        <v>86</v>
      </c>
    </row>
    <row r="27" spans="1:10" ht="22.5" customHeight="1" x14ac:dyDescent="0.25">
      <c r="A27" s="180" t="s">
        <v>144</v>
      </c>
      <c r="B27" s="35"/>
      <c r="C27" s="173"/>
      <c r="D27" s="115"/>
      <c r="E27" s="115"/>
      <c r="F27" s="163"/>
      <c r="G27" s="165"/>
      <c r="H27" s="163"/>
      <c r="I27" s="116"/>
      <c r="J27" s="177" t="s">
        <v>86</v>
      </c>
    </row>
    <row r="28" spans="1:10" ht="22.5" customHeight="1" x14ac:dyDescent="0.25">
      <c r="A28" s="180" t="s">
        <v>145</v>
      </c>
      <c r="B28" s="36">
        <f>+B26-B27</f>
        <v>0</v>
      </c>
      <c r="C28" s="37">
        <f>+C26-C27</f>
        <v>0</v>
      </c>
      <c r="D28" s="115"/>
      <c r="E28" s="115"/>
      <c r="F28" s="163"/>
      <c r="G28" s="165"/>
      <c r="H28" s="163"/>
      <c r="I28" s="116"/>
      <c r="J28" s="177" t="s">
        <v>86</v>
      </c>
    </row>
    <row r="29" spans="1:10" ht="30" x14ac:dyDescent="0.25">
      <c r="A29" s="180" t="s">
        <v>146</v>
      </c>
      <c r="B29" s="36">
        <f>+B41-B42</f>
        <v>0</v>
      </c>
      <c r="C29" s="37">
        <f>+C41-C42</f>
        <v>0</v>
      </c>
      <c r="D29" s="115"/>
      <c r="E29" s="115"/>
      <c r="F29" s="163"/>
      <c r="G29" s="165"/>
      <c r="H29" s="163"/>
      <c r="I29" s="116"/>
      <c r="J29" s="178" t="s">
        <v>60</v>
      </c>
    </row>
    <row r="30" spans="1:10" x14ac:dyDescent="0.25">
      <c r="A30" s="181" t="s">
        <v>147</v>
      </c>
      <c r="B30" s="20" t="str">
        <f>IFERROR(+B26/B27,"-")</f>
        <v>-</v>
      </c>
      <c r="C30" s="21" t="str">
        <f>IFERROR(+C26/C27,"-")</f>
        <v>-</v>
      </c>
      <c r="D30" s="120">
        <v>0.75</v>
      </c>
      <c r="E30" s="129" t="s">
        <v>12</v>
      </c>
      <c r="F30" s="130" t="str">
        <f>IF(ISNUMBER(B26),IF(B30&gt;0.749999,"PASS","FAIL"),"-")</f>
        <v>-</v>
      </c>
      <c r="G30" s="124" t="str">
        <f>IF(ISNUMBER(C26),IF(C30&gt;0.749999,"PASS","FAIL"),"-")</f>
        <v>-</v>
      </c>
      <c r="H30" s="130" t="str">
        <f>IF(ISNUMBER(B26),IF(B30&gt;0.9999,"PASS","FAIL"),"-")</f>
        <v>-</v>
      </c>
      <c r="I30" s="123" t="str">
        <f>IF(ISNUMBER(C26),IF(C30&gt;0.9999,"PASS","FAIL"),"-")</f>
        <v>-</v>
      </c>
      <c r="J30" s="177" t="s">
        <v>56</v>
      </c>
    </row>
    <row r="31" spans="1:10" ht="60" x14ac:dyDescent="0.25">
      <c r="A31" s="182" t="s">
        <v>166</v>
      </c>
      <c r="B31" s="39" t="str">
        <f>IF(B28&gt;-0.00001,"NO","YES")</f>
        <v>NO</v>
      </c>
      <c r="C31" s="40" t="str">
        <f>IF(C28&gt;-0.00001,"NO","YES")</f>
        <v>NO</v>
      </c>
      <c r="D31" s="131" t="s">
        <v>14</v>
      </c>
      <c r="E31" s="132" t="s">
        <v>8</v>
      </c>
      <c r="F31" s="130" t="str">
        <f>IF(ISNUMBER(B26),IF(B28&lt;0,IF(B43&gt;-B28,"PASS","FAIL"),"PASS"),"-")</f>
        <v>-</v>
      </c>
      <c r="G31" s="124" t="str">
        <f>IF(ISNUMBER(C26),IF(C28&lt;0,IF(C43&gt;-C28,"PASS","FAIL"),"PASS"),"-")</f>
        <v>-</v>
      </c>
      <c r="H31" s="124" t="s">
        <v>8</v>
      </c>
      <c r="I31" s="123" t="s">
        <v>8</v>
      </c>
      <c r="J31" s="179" t="s">
        <v>122</v>
      </c>
    </row>
    <row r="32" spans="1:10" s="78" customFormat="1" x14ac:dyDescent="0.25">
      <c r="A32" s="158"/>
      <c r="D32" s="165"/>
      <c r="E32" s="165"/>
      <c r="F32" s="117"/>
      <c r="G32" s="165"/>
      <c r="H32" s="165"/>
      <c r="I32" s="165"/>
      <c r="J32" s="158"/>
    </row>
    <row r="33" spans="1:10" ht="18.75" x14ac:dyDescent="0.3">
      <c r="A33" s="155" t="s">
        <v>15</v>
      </c>
      <c r="D33" s="115"/>
      <c r="E33" s="115"/>
      <c r="F33" s="163"/>
      <c r="G33" s="165"/>
      <c r="H33" s="163"/>
      <c r="I33" s="165"/>
      <c r="J33" s="185"/>
    </row>
    <row r="34" spans="1:10" ht="29.25" customHeight="1" x14ac:dyDescent="0.25">
      <c r="A34" s="6" t="s">
        <v>149</v>
      </c>
      <c r="B34" s="43"/>
      <c r="C34" s="44"/>
      <c r="D34" s="115"/>
      <c r="E34" s="115"/>
      <c r="F34" s="163"/>
      <c r="G34" s="165"/>
      <c r="H34" s="163"/>
      <c r="I34" s="165"/>
      <c r="J34" s="177" t="s">
        <v>123</v>
      </c>
    </row>
    <row r="35" spans="1:10" ht="31.5" customHeight="1" x14ac:dyDescent="0.25">
      <c r="A35" s="6" t="s">
        <v>136</v>
      </c>
      <c r="B35" s="45">
        <f>+B11</f>
        <v>0</v>
      </c>
      <c r="C35" s="37">
        <f>+C11</f>
        <v>0</v>
      </c>
      <c r="D35" s="115"/>
      <c r="E35" s="115"/>
      <c r="F35" s="163"/>
      <c r="G35" s="165"/>
      <c r="H35" s="163"/>
      <c r="I35" s="165"/>
      <c r="J35" s="177" t="s">
        <v>59</v>
      </c>
    </row>
    <row r="36" spans="1:10" ht="30" customHeight="1" x14ac:dyDescent="0.25">
      <c r="A36" s="6" t="s">
        <v>150</v>
      </c>
      <c r="B36" s="46">
        <f>+B16</f>
        <v>0</v>
      </c>
      <c r="C36" s="47">
        <f>+C16</f>
        <v>0</v>
      </c>
      <c r="D36" s="115"/>
      <c r="E36" s="115"/>
      <c r="F36" s="163"/>
      <c r="G36" s="165"/>
      <c r="H36" s="163"/>
      <c r="I36" s="165"/>
      <c r="J36" s="177" t="s">
        <v>124</v>
      </c>
    </row>
    <row r="37" spans="1:10" ht="74.25" customHeight="1" x14ac:dyDescent="0.25">
      <c r="A37" s="156" t="s">
        <v>151</v>
      </c>
      <c r="B37" s="20" t="str">
        <f>IFERROR(+B34/B35,"-")</f>
        <v>-</v>
      </c>
      <c r="C37" s="21" t="str">
        <f>IFERROR(+C34/C35,"-")</f>
        <v>-</v>
      </c>
      <c r="D37" s="120" t="s">
        <v>16</v>
      </c>
      <c r="E37" s="129" t="s">
        <v>17</v>
      </c>
      <c r="F37" s="130" t="str">
        <f>IF(ISNUMBER(B34),IF(B37&gt;-0.08,"PASS","FAIL"),"-")</f>
        <v>-</v>
      </c>
      <c r="G37" s="124" t="str">
        <f>IF(ISNUMBER(C34),IF(C37&gt;-0.08,"PASS","FAIL"),"-")</f>
        <v>-</v>
      </c>
      <c r="H37" s="130" t="str">
        <f>IF(ISNUMBER(B34),IF(B37&gt;0.029999,"PASS","FAIL"),"-")</f>
        <v>-</v>
      </c>
      <c r="I37" s="128" t="str">
        <f>IF(ISNUMBER(C34),IF(C37&gt;0.029999,"PASS","FAIL"),"-")</f>
        <v>-</v>
      </c>
      <c r="J37" s="177"/>
    </row>
    <row r="38" spans="1:10" ht="73.5" customHeight="1" x14ac:dyDescent="0.25">
      <c r="A38" s="157" t="s">
        <v>152</v>
      </c>
      <c r="B38" s="48" t="str">
        <f>IFERROR(+B34/B9,"-")</f>
        <v>-</v>
      </c>
      <c r="C38" s="49" t="str">
        <f>IFERROR(+C34/C9,"-")</f>
        <v>-</v>
      </c>
      <c r="D38" s="131" t="s">
        <v>18</v>
      </c>
      <c r="E38" s="132" t="s">
        <v>8</v>
      </c>
      <c r="F38" s="130" t="str">
        <f>IF(ISNUMBER(B34), IF(B38&gt;-0.3,"PASS","FAIL"),"-")</f>
        <v>-</v>
      </c>
      <c r="G38" s="124" t="str">
        <f>IF(ISNUMBER(C34), IF(C38&gt;-0.3,"PASS","FAIL"),"-")</f>
        <v>-</v>
      </c>
      <c r="H38" s="124" t="s">
        <v>8</v>
      </c>
      <c r="I38" s="128" t="s">
        <v>8</v>
      </c>
      <c r="J38" s="177"/>
    </row>
    <row r="39" spans="1:10" x14ac:dyDescent="0.25">
      <c r="A39" s="78"/>
      <c r="D39" s="115"/>
      <c r="E39" s="115"/>
      <c r="F39" s="163"/>
      <c r="G39" s="165"/>
      <c r="H39" s="163"/>
      <c r="I39" s="165"/>
      <c r="J39" s="177"/>
    </row>
    <row r="40" spans="1:10" ht="18.75" x14ac:dyDescent="0.3">
      <c r="A40" s="155" t="s">
        <v>153</v>
      </c>
      <c r="D40" s="115"/>
      <c r="E40" s="115"/>
      <c r="F40" s="163"/>
      <c r="G40" s="165"/>
      <c r="H40" s="163"/>
      <c r="I40" s="165"/>
      <c r="J40" s="177"/>
    </row>
    <row r="41" spans="1:10" ht="30" x14ac:dyDescent="0.25">
      <c r="A41" s="6" t="s">
        <v>20</v>
      </c>
      <c r="B41" s="43"/>
      <c r="C41" s="44"/>
      <c r="D41" s="115"/>
      <c r="E41" s="115"/>
      <c r="F41" s="163"/>
      <c r="G41" s="165"/>
      <c r="H41" s="163"/>
      <c r="I41" s="165"/>
      <c r="J41" s="177" t="s">
        <v>88</v>
      </c>
    </row>
    <row r="42" spans="1:10" ht="30" x14ac:dyDescent="0.25">
      <c r="A42" s="6" t="s">
        <v>21</v>
      </c>
      <c r="B42" s="36">
        <f>+B22</f>
        <v>0</v>
      </c>
      <c r="C42" s="47">
        <f>+C22</f>
        <v>0</v>
      </c>
      <c r="D42" s="115"/>
      <c r="E42" s="115"/>
      <c r="F42" s="163"/>
      <c r="G42" s="165"/>
      <c r="H42" s="163"/>
      <c r="I42" s="165"/>
      <c r="J42" s="177" t="s">
        <v>89</v>
      </c>
    </row>
    <row r="43" spans="1:10" ht="22.5" customHeight="1" x14ac:dyDescent="0.25">
      <c r="A43" s="6" t="s">
        <v>154</v>
      </c>
      <c r="B43" s="36">
        <f>+B41-B42</f>
        <v>0</v>
      </c>
      <c r="C43" s="47">
        <f>+C41-C42</f>
        <v>0</v>
      </c>
      <c r="D43" s="115"/>
      <c r="E43" s="115"/>
      <c r="F43" s="163"/>
      <c r="G43" s="165"/>
      <c r="H43" s="163"/>
      <c r="I43" s="165"/>
      <c r="J43" s="177" t="s">
        <v>90</v>
      </c>
    </row>
    <row r="44" spans="1:10" ht="30" customHeight="1" x14ac:dyDescent="0.25">
      <c r="A44" s="156" t="s">
        <v>155</v>
      </c>
      <c r="B44" s="20" t="str">
        <f>IFERROR(+B41/B42,"-")</f>
        <v>-</v>
      </c>
      <c r="C44" s="20" t="str">
        <f>IFERROR(+C41/C42,"-")</f>
        <v>-</v>
      </c>
      <c r="D44" s="120">
        <v>1</v>
      </c>
      <c r="E44" s="129" t="s">
        <v>22</v>
      </c>
      <c r="F44" s="130" t="str">
        <f>IF(ISNUMBER(B41),IF(B44&gt;0.99991,"PASS","FAIL"),"-")</f>
        <v>-</v>
      </c>
      <c r="G44" s="124" t="str">
        <f>IF(ISNUMBER(C41),IF(C44&gt;0.99991,"PASS","FAIL"),"-")</f>
        <v>-</v>
      </c>
      <c r="H44" s="130" t="str">
        <f>IF(ISNUMBER(B41),IF(B44&gt;1.109999,"PASS","FAIL"),"-")</f>
        <v>-</v>
      </c>
      <c r="I44" s="128" t="str">
        <f>IF(ISNUMBER(C41),IF(C44&gt;1.109999,"PASS","FAIL"),"-")</f>
        <v>-</v>
      </c>
      <c r="J44" s="177" t="s">
        <v>125</v>
      </c>
    </row>
    <row r="45" spans="1:10" x14ac:dyDescent="0.25">
      <c r="A45" s="78"/>
      <c r="D45" s="115"/>
      <c r="E45" s="115"/>
      <c r="F45" s="163"/>
      <c r="G45" s="165"/>
      <c r="H45" s="163"/>
      <c r="I45" s="165"/>
      <c r="J45" s="177"/>
    </row>
    <row r="46" spans="1:10" ht="18.75" x14ac:dyDescent="0.3">
      <c r="A46" s="155" t="s">
        <v>23</v>
      </c>
      <c r="D46" s="115"/>
      <c r="E46" s="115"/>
      <c r="F46" s="163"/>
      <c r="G46" s="165"/>
      <c r="H46" s="163"/>
      <c r="I46" s="165"/>
      <c r="J46" s="177"/>
    </row>
    <row r="47" spans="1:10" ht="45" x14ac:dyDescent="0.25">
      <c r="A47" s="6" t="s">
        <v>156</v>
      </c>
      <c r="B47" s="43"/>
      <c r="C47" s="44"/>
      <c r="D47" s="115"/>
      <c r="E47" s="115"/>
      <c r="F47" s="163"/>
      <c r="G47" s="165"/>
      <c r="H47" s="163"/>
      <c r="I47" s="165"/>
      <c r="J47" s="177" t="s">
        <v>126</v>
      </c>
    </row>
    <row r="48" spans="1:10" ht="22.5" customHeight="1" x14ac:dyDescent="0.25">
      <c r="A48" s="6" t="s">
        <v>150</v>
      </c>
      <c r="B48" s="36">
        <f>+B16</f>
        <v>0</v>
      </c>
      <c r="C48" s="47">
        <f>+C16</f>
        <v>0</v>
      </c>
      <c r="D48" s="115"/>
      <c r="E48" s="115"/>
      <c r="F48" s="163"/>
      <c r="G48" s="165"/>
      <c r="H48" s="163"/>
      <c r="I48" s="191"/>
      <c r="J48" s="177" t="s">
        <v>127</v>
      </c>
    </row>
    <row r="49" spans="1:53" ht="30" customHeight="1" x14ac:dyDescent="0.25">
      <c r="A49" s="156" t="s">
        <v>157</v>
      </c>
      <c r="B49" s="20" t="str">
        <f>IFERROR(+B47/(B47+B48),"-")</f>
        <v>-</v>
      </c>
      <c r="C49" s="20" t="str">
        <f>IFERROR(+C47/(C47+C48),"-")</f>
        <v>-</v>
      </c>
      <c r="D49" s="120" t="s">
        <v>24</v>
      </c>
      <c r="E49" s="129" t="s">
        <v>25</v>
      </c>
      <c r="F49" s="130" t="str">
        <f>IF(ISNUMBER(B47),IF(B49&lt;0.5,"PASS","FAIL"),"-")</f>
        <v>-</v>
      </c>
      <c r="G49" s="124" t="str">
        <f>IF(ISNUMBER(C47),IF(C49&lt;0.5,"PASS","FAIL"),"-")</f>
        <v>-</v>
      </c>
      <c r="H49" s="130" t="str">
        <f>IF(ISNUMBER(B47),IF(B49&lt;0.33,"PASS","FAIL"),"-")</f>
        <v>-</v>
      </c>
      <c r="I49" s="128" t="str">
        <f>IF(ISNUMBER(C47),IF(C49&lt;0.33,"PASS","FAIL"),"-")</f>
        <v>-</v>
      </c>
      <c r="J49" s="177"/>
    </row>
    <row r="50" spans="1:53" x14ac:dyDescent="0.25">
      <c r="A50" s="78"/>
      <c r="D50" s="115"/>
      <c r="E50" s="115"/>
      <c r="F50" s="163"/>
      <c r="G50" s="153"/>
      <c r="H50" s="163"/>
      <c r="I50" s="152"/>
      <c r="J50" s="176"/>
    </row>
    <row r="51" spans="1:53" ht="45" customHeight="1" x14ac:dyDescent="0.3">
      <c r="A51" s="159" t="s">
        <v>158</v>
      </c>
      <c r="B51" s="51"/>
      <c r="C51" s="51"/>
      <c r="D51" s="133"/>
      <c r="E51" s="133"/>
      <c r="F51" s="134" t="str">
        <f>IF(M53=14,IF(M51&gt;0,"FAIL","PASS"),"spreadsheet not fully populated")</f>
        <v>spreadsheet not fully populated</v>
      </c>
      <c r="G51" s="168" t="str">
        <f>IF(N53=14,IF(N51&gt;0,"FAIL","PASS"),"spreadsheet not fully populated")</f>
        <v>spreadsheet not fully populated</v>
      </c>
      <c r="H51" s="163"/>
      <c r="I51" s="115"/>
      <c r="J51" s="179" t="s">
        <v>168</v>
      </c>
      <c r="M51" s="33">
        <f>COUNTIF(F14:F16,"FAIL")+COUNTIF(F23,"FAIL")+COUNTIF(F30,"FAIL")+COUNTIF(F31,"FAIL")+COUNTIF(F37,"FAIL")+COUNTIF(F38,"FAIL")+COUNTIF(F44,"FAIL")+COUNTIF(F49,"FAIL")</f>
        <v>0</v>
      </c>
      <c r="N51" s="33">
        <f>COUNTIF(G14:G16,"FAIL")+COUNTIF(G23,"FAIL")+COUNTIF(G30,"FAIL")+COUNTIF(G31,"FAIL")+COUNTIF(G37,"FAIL")+COUNTIF(G38,"FAIL")+COUNTIF(G44,"FAIL")+COUNTIF(G49,"FAIL")</f>
        <v>0</v>
      </c>
    </row>
    <row r="52" spans="1:53" ht="18.75" x14ac:dyDescent="0.3">
      <c r="A52" s="53"/>
      <c r="B52" s="54"/>
      <c r="C52" s="54"/>
      <c r="D52" s="54"/>
      <c r="E52" s="54"/>
      <c r="F52" s="54"/>
      <c r="G52" s="9"/>
      <c r="H52" s="54"/>
      <c r="K52" s="55"/>
    </row>
    <row r="53" spans="1:53" x14ac:dyDescent="0.25">
      <c r="A53" s="160" t="s">
        <v>64</v>
      </c>
      <c r="B53" s="56" t="str">
        <f>IF(M53=14,"Yes","No")</f>
        <v>No</v>
      </c>
      <c r="C53" s="56" t="str">
        <f>IF(N53=14,"Yes","No")</f>
        <v>No</v>
      </c>
      <c r="D53" s="57" t="s">
        <v>26</v>
      </c>
      <c r="E53" s="58"/>
      <c r="F53" s="58"/>
      <c r="G53" s="58"/>
      <c r="H53" s="58"/>
      <c r="I53" s="58"/>
      <c r="K53" s="2"/>
      <c r="M53" s="56">
        <f>COUNT(B9,B10,B11,B12,B13,B19,B20,B21,B22,B26,B27,B34,B41,B47)</f>
        <v>0</v>
      </c>
      <c r="N53" s="56">
        <f>COUNT(C9,C10,C11,C12,C13,C19,C20,C21,C22,C26,C27,C34,C41,C47)</f>
        <v>0</v>
      </c>
    </row>
    <row r="54" spans="1:53" x14ac:dyDescent="0.25">
      <c r="A54" s="78"/>
    </row>
    <row r="55" spans="1:53" ht="26.25" x14ac:dyDescent="0.4">
      <c r="A55" s="161" t="s">
        <v>169</v>
      </c>
      <c r="AF55" s="192" t="s">
        <v>72</v>
      </c>
    </row>
    <row r="56" spans="1:53" s="210" customFormat="1" ht="15.75" x14ac:dyDescent="0.25">
      <c r="A56" s="204"/>
      <c r="B56" s="205" t="s">
        <v>114</v>
      </c>
      <c r="C56" s="206"/>
      <c r="D56" s="205" t="s">
        <v>82</v>
      </c>
      <c r="E56" s="206"/>
      <c r="F56" s="207" t="s">
        <v>29</v>
      </c>
      <c r="G56" s="208" t="s">
        <v>29</v>
      </c>
      <c r="H56" s="207" t="s">
        <v>29</v>
      </c>
      <c r="I56" s="208" t="s">
        <v>29</v>
      </c>
      <c r="J56" s="209"/>
      <c r="AF56" s="210" t="s">
        <v>99</v>
      </c>
      <c r="AM56" s="210" t="s">
        <v>98</v>
      </c>
      <c r="AT56" s="210" t="s">
        <v>97</v>
      </c>
      <c r="BA56" s="210" t="s">
        <v>101</v>
      </c>
    </row>
    <row r="57" spans="1:53" s="210" customFormat="1" ht="15.75" x14ac:dyDescent="0.25">
      <c r="A57" s="211" t="s">
        <v>30</v>
      </c>
      <c r="B57" s="194" t="s">
        <v>85</v>
      </c>
      <c r="C57" s="194" t="s">
        <v>37</v>
      </c>
      <c r="D57" s="204" t="s">
        <v>33</v>
      </c>
      <c r="E57" s="204" t="s">
        <v>34</v>
      </c>
      <c r="F57" s="204" t="s">
        <v>33</v>
      </c>
      <c r="G57" s="204" t="s">
        <v>33</v>
      </c>
      <c r="H57" s="204" t="s">
        <v>34</v>
      </c>
      <c r="I57" s="204" t="s">
        <v>34</v>
      </c>
      <c r="J57" s="212"/>
    </row>
    <row r="58" spans="1:53" s="210" customFormat="1" ht="15" customHeight="1" x14ac:dyDescent="0.25">
      <c r="A58" s="211"/>
      <c r="B58" s="198"/>
      <c r="C58" s="198"/>
      <c r="D58" s="211"/>
      <c r="E58" s="211"/>
      <c r="F58" s="211" t="s">
        <v>36</v>
      </c>
      <c r="G58" s="211" t="s">
        <v>37</v>
      </c>
      <c r="H58" s="211" t="s">
        <v>36</v>
      </c>
      <c r="I58" s="211" t="s">
        <v>37</v>
      </c>
      <c r="J58" s="212"/>
      <c r="AF58" s="213" t="s">
        <v>30</v>
      </c>
      <c r="AG58" s="214" t="s">
        <v>31</v>
      </c>
      <c r="AH58" s="215" t="s">
        <v>32</v>
      </c>
      <c r="AI58" s="214" t="s">
        <v>38</v>
      </c>
      <c r="AJ58" s="215" t="s">
        <v>39</v>
      </c>
      <c r="AM58" s="213" t="s">
        <v>30</v>
      </c>
      <c r="AN58" s="214" t="s">
        <v>31</v>
      </c>
      <c r="AO58" s="215" t="s">
        <v>32</v>
      </c>
      <c r="AP58" s="214" t="s">
        <v>38</v>
      </c>
      <c r="AQ58" s="214" t="s">
        <v>39</v>
      </c>
      <c r="AR58" s="215" t="s">
        <v>91</v>
      </c>
      <c r="AT58" s="213" t="s">
        <v>30</v>
      </c>
      <c r="AU58" s="214" t="s">
        <v>31</v>
      </c>
      <c r="AV58" s="215" t="s">
        <v>32</v>
      </c>
      <c r="AW58" s="214" t="s">
        <v>38</v>
      </c>
      <c r="AX58" s="215" t="s">
        <v>39</v>
      </c>
      <c r="BA58" s="215" t="s">
        <v>94</v>
      </c>
    </row>
    <row r="59" spans="1:53" ht="22.5" customHeight="1" x14ac:dyDescent="0.25">
      <c r="A59" s="176" t="str">
        <f>+A8</f>
        <v>1  Net tangible assets (NTA)</v>
      </c>
      <c r="B59" s="67" t="str">
        <f t="shared" ref="B59:C61" si="1">+B14</f>
        <v>-</v>
      </c>
      <c r="C59" s="68" t="str">
        <f t="shared" si="1"/>
        <v>-</v>
      </c>
      <c r="D59" s="69">
        <v>0.02</v>
      </c>
      <c r="E59" s="70" t="s">
        <v>5</v>
      </c>
      <c r="F59" s="71" t="str">
        <f>+F14</f>
        <v>-</v>
      </c>
      <c r="G59" s="71" t="str">
        <f>+G14</f>
        <v>-</v>
      </c>
      <c r="H59" s="72" t="str">
        <f>+H14</f>
        <v>-</v>
      </c>
      <c r="I59" s="73" t="str">
        <f>+I14</f>
        <v>-</v>
      </c>
      <c r="J59" s="54"/>
      <c r="K59" s="64"/>
      <c r="AF59" s="50" t="s">
        <v>41</v>
      </c>
      <c r="AG59" s="67" t="str">
        <f>+B59</f>
        <v>-</v>
      </c>
      <c r="AH59" s="110" t="str">
        <f>+C59</f>
        <v>-</v>
      </c>
      <c r="AI59" s="111">
        <v>0.02</v>
      </c>
      <c r="AJ59" s="111">
        <v>0.02</v>
      </c>
      <c r="AM59" s="50" t="s">
        <v>41</v>
      </c>
      <c r="AN59" s="74" t="str">
        <f>+AG59</f>
        <v>-</v>
      </c>
      <c r="AO59" s="112" t="str">
        <f>+AH59</f>
        <v>-</v>
      </c>
      <c r="AP59" s="113">
        <v>0.02</v>
      </c>
      <c r="AQ59" s="113">
        <v>0.02</v>
      </c>
      <c r="AR59" s="113">
        <f>1/AQ59</f>
        <v>50</v>
      </c>
      <c r="AT59" s="50" t="s">
        <v>41</v>
      </c>
      <c r="AU59" s="74" t="e">
        <f>IF(+AN59*$AR59&gt;10,10,AN59*AR59)</f>
        <v>#VALUE!</v>
      </c>
      <c r="AV59" s="74" t="e">
        <f>IF(+AO59*$AR59&gt;10,10,AO59*AR59)</f>
        <v>#VALUE!</v>
      </c>
      <c r="AW59" s="74">
        <f t="shared" ref="AW59:AX64" si="2">+AP59*$AR59</f>
        <v>1</v>
      </c>
      <c r="AX59" s="112">
        <f t="shared" si="2"/>
        <v>1</v>
      </c>
      <c r="AZ59" t="str">
        <f>IF(CH36*$AR36&gt;10,"Note NTA ACTUAL ratio has been capped to meet maximum graph size dimensions"," ")</f>
        <v xml:space="preserve"> </v>
      </c>
      <c r="BA59" s="176" t="e">
        <f>IF(AN59*AR59&gt;10,"Note value for actual NTA PFS ratio has been capped at 10 for ease of charting", " ")</f>
        <v>#VALUE!</v>
      </c>
    </row>
    <row r="60" spans="1:53" ht="22.5" customHeight="1" x14ac:dyDescent="0.25">
      <c r="A60" s="202" t="s">
        <v>159</v>
      </c>
      <c r="B60" s="67" t="str">
        <f t="shared" si="1"/>
        <v>-</v>
      </c>
      <c r="C60" s="68" t="str">
        <f t="shared" si="1"/>
        <v>-</v>
      </c>
      <c r="D60" s="69" t="s">
        <v>8</v>
      </c>
      <c r="E60" s="70" t="s">
        <v>7</v>
      </c>
      <c r="F60" s="75" t="s">
        <v>8</v>
      </c>
      <c r="G60" s="64" t="s">
        <v>8</v>
      </c>
      <c r="H60" s="76" t="str">
        <f>+H15</f>
        <v>-</v>
      </c>
      <c r="I60" s="77" t="str">
        <f>+I15</f>
        <v>-</v>
      </c>
      <c r="J60" s="78"/>
      <c r="K60" s="75"/>
      <c r="AF60" s="50" t="s">
        <v>42</v>
      </c>
      <c r="AG60" s="67" t="str">
        <f>+B62</f>
        <v>-</v>
      </c>
      <c r="AH60" s="110" t="str">
        <f>+C62</f>
        <v>-</v>
      </c>
      <c r="AI60" s="111">
        <v>0.05</v>
      </c>
      <c r="AJ60" s="111">
        <v>0.08</v>
      </c>
      <c r="AM60" s="50" t="s">
        <v>42</v>
      </c>
      <c r="AN60" s="74" t="str">
        <f t="shared" ref="AN60:AO64" si="3">+AG60</f>
        <v>-</v>
      </c>
      <c r="AO60" s="112" t="str">
        <f t="shared" si="3"/>
        <v>-</v>
      </c>
      <c r="AP60" s="113">
        <v>0.05</v>
      </c>
      <c r="AQ60" s="113">
        <v>0.08</v>
      </c>
      <c r="AR60" s="113">
        <f t="shared" ref="AR60:AR64" si="4">1/AQ60</f>
        <v>12.5</v>
      </c>
      <c r="AT60" s="50" t="s">
        <v>42</v>
      </c>
      <c r="AU60" s="74" t="e">
        <f t="shared" ref="AU60:AU64" si="5">IF(+AN60*$AR60&gt;10,10,AN60*AR60)</f>
        <v>#VALUE!</v>
      </c>
      <c r="AV60" s="74" t="e">
        <f t="shared" ref="AV60:AV64" si="6">IF(+AO60*$AR60&gt;10,10,AO60*AR60)</f>
        <v>#VALUE!</v>
      </c>
      <c r="AW60" s="74">
        <f t="shared" si="2"/>
        <v>0.625</v>
      </c>
      <c r="AX60" s="112">
        <f t="shared" si="2"/>
        <v>1</v>
      </c>
      <c r="BA60" s="176" t="e">
        <f>IF(AN60*AR60&gt;10,"Note value for actual Liquid assets PFS ratio has been capped at 10 for ease of charting", " ")</f>
        <v>#VALUE!</v>
      </c>
    </row>
    <row r="61" spans="1:53" ht="22.5" customHeight="1" x14ac:dyDescent="0.25">
      <c r="A61" s="202" t="s">
        <v>43</v>
      </c>
      <c r="B61" s="79">
        <f t="shared" si="1"/>
        <v>0</v>
      </c>
      <c r="C61" s="80">
        <f t="shared" si="1"/>
        <v>0</v>
      </c>
      <c r="D61" s="81">
        <v>50000</v>
      </c>
      <c r="E61" s="70" t="s">
        <v>8</v>
      </c>
      <c r="F61" s="75" t="str">
        <f>+F16</f>
        <v>-</v>
      </c>
      <c r="G61" s="75" t="str">
        <f>+G16</f>
        <v>-</v>
      </c>
      <c r="H61" s="76" t="s">
        <v>8</v>
      </c>
      <c r="I61" s="77" t="s">
        <v>8</v>
      </c>
      <c r="J61" s="78"/>
      <c r="K61" s="75"/>
      <c r="AF61" s="50" t="s">
        <v>44</v>
      </c>
      <c r="AG61" s="67" t="str">
        <f>+B63</f>
        <v>-</v>
      </c>
      <c r="AH61" s="110" t="str">
        <f>+C63</f>
        <v>-</v>
      </c>
      <c r="AI61" s="111">
        <v>0.75</v>
      </c>
      <c r="AJ61" s="111">
        <v>1</v>
      </c>
      <c r="AM61" s="50" t="s">
        <v>44</v>
      </c>
      <c r="AN61" s="74" t="str">
        <f t="shared" si="3"/>
        <v>-</v>
      </c>
      <c r="AO61" s="112" t="str">
        <f t="shared" si="3"/>
        <v>-</v>
      </c>
      <c r="AP61" s="113">
        <v>0.75</v>
      </c>
      <c r="AQ61" s="113">
        <v>1</v>
      </c>
      <c r="AR61" s="113">
        <f t="shared" si="4"/>
        <v>1</v>
      </c>
      <c r="AT61" s="50" t="s">
        <v>44</v>
      </c>
      <c r="AU61" s="74" t="e">
        <f t="shared" si="5"/>
        <v>#VALUE!</v>
      </c>
      <c r="AV61" s="74" t="e">
        <f t="shared" si="6"/>
        <v>#VALUE!</v>
      </c>
      <c r="AW61" s="74">
        <f t="shared" si="2"/>
        <v>0.75</v>
      </c>
      <c r="AX61" s="112">
        <f t="shared" si="2"/>
        <v>1</v>
      </c>
      <c r="BA61" s="176" t="e">
        <f>IF(AN61*AR61&gt;10,"Note value for actual Working Capital PFS ratio has been capped at 10 for ease of charting", " ")</f>
        <v>#VALUE!</v>
      </c>
    </row>
    <row r="62" spans="1:53" ht="22.5" customHeight="1" x14ac:dyDescent="0.25">
      <c r="A62" s="202" t="str">
        <f>+A18</f>
        <v>2 Liquid assets</v>
      </c>
      <c r="B62" s="67" t="str">
        <f>+B23</f>
        <v>-</v>
      </c>
      <c r="C62" s="68" t="str">
        <f>+C23</f>
        <v>-</v>
      </c>
      <c r="D62" s="69">
        <v>0.05</v>
      </c>
      <c r="E62" s="82" t="s">
        <v>45</v>
      </c>
      <c r="F62" s="75" t="str">
        <f>+F23</f>
        <v>-</v>
      </c>
      <c r="G62" s="75" t="str">
        <f>+G23</f>
        <v>-</v>
      </c>
      <c r="H62" s="76" t="str">
        <f>+H23</f>
        <v>-</v>
      </c>
      <c r="I62" s="77" t="str">
        <f>+I23</f>
        <v>-</v>
      </c>
      <c r="J62" s="78"/>
      <c r="AF62" s="50" t="s">
        <v>15</v>
      </c>
      <c r="AG62" s="67" t="str">
        <f>+B65</f>
        <v>-</v>
      </c>
      <c r="AH62" s="110" t="str">
        <f>+C65</f>
        <v>-</v>
      </c>
      <c r="AI62" s="111">
        <v>-0.08</v>
      </c>
      <c r="AJ62" s="111">
        <v>0.03</v>
      </c>
      <c r="AM62" s="50" t="s">
        <v>15</v>
      </c>
      <c r="AN62" s="74" t="str">
        <f t="shared" si="3"/>
        <v>-</v>
      </c>
      <c r="AO62" s="112" t="str">
        <f t="shared" si="3"/>
        <v>-</v>
      </c>
      <c r="AP62" s="114">
        <v>-0.08</v>
      </c>
      <c r="AQ62" s="113">
        <v>0.03</v>
      </c>
      <c r="AR62" s="113">
        <f t="shared" si="4"/>
        <v>33.333333333333336</v>
      </c>
      <c r="AT62" s="50" t="s">
        <v>15</v>
      </c>
      <c r="AU62" s="74" t="e">
        <f t="shared" si="5"/>
        <v>#VALUE!</v>
      </c>
      <c r="AV62" s="74" t="e">
        <f t="shared" si="6"/>
        <v>#VALUE!</v>
      </c>
      <c r="AW62" s="74">
        <f t="shared" si="2"/>
        <v>-2.666666666666667</v>
      </c>
      <c r="AX62" s="112">
        <f t="shared" si="2"/>
        <v>1</v>
      </c>
      <c r="BA62" s="176" t="e">
        <f>IF(AN62*AR62&gt;10,"Note value for actual Profitability PFS ratio has been capped at 10 for ease of charting", " ")</f>
        <v>#VALUE!</v>
      </c>
    </row>
    <row r="63" spans="1:53" ht="22.5" customHeight="1" x14ac:dyDescent="0.25">
      <c r="A63" s="202" t="str">
        <f>+A25</f>
        <v>3 Working capital</v>
      </c>
      <c r="B63" s="67" t="str">
        <f>+B30</f>
        <v>-</v>
      </c>
      <c r="C63" s="68" t="str">
        <f>+C30</f>
        <v>-</v>
      </c>
      <c r="D63" s="69">
        <v>0.75</v>
      </c>
      <c r="E63" s="82" t="s">
        <v>12</v>
      </c>
      <c r="F63" s="75" t="str">
        <f>+F30</f>
        <v>-</v>
      </c>
      <c r="G63" s="75" t="str">
        <f>+G30</f>
        <v>-</v>
      </c>
      <c r="H63" s="76" t="str">
        <f>+H30</f>
        <v>-</v>
      </c>
      <c r="I63" s="77" t="str">
        <f>+I30</f>
        <v>-</v>
      </c>
      <c r="J63" s="78"/>
      <c r="AF63" s="50" t="s">
        <v>19</v>
      </c>
      <c r="AG63" s="67" t="str">
        <f>+B67</f>
        <v>-</v>
      </c>
      <c r="AH63" s="110" t="str">
        <f>+C67</f>
        <v>-</v>
      </c>
      <c r="AI63" s="111">
        <v>1</v>
      </c>
      <c r="AJ63" s="111">
        <v>1.1100000000000001</v>
      </c>
      <c r="AM63" s="50" t="s">
        <v>19</v>
      </c>
      <c r="AN63" s="74" t="str">
        <f t="shared" si="3"/>
        <v>-</v>
      </c>
      <c r="AO63" s="112" t="str">
        <f t="shared" si="3"/>
        <v>-</v>
      </c>
      <c r="AP63" s="113">
        <v>1</v>
      </c>
      <c r="AQ63" s="113">
        <v>1.1100000000000001</v>
      </c>
      <c r="AR63" s="113">
        <f t="shared" si="4"/>
        <v>0.9009009009009008</v>
      </c>
      <c r="AT63" s="50" t="s">
        <v>19</v>
      </c>
      <c r="AU63" s="74" t="e">
        <f t="shared" si="5"/>
        <v>#VALUE!</v>
      </c>
      <c r="AV63" s="74" t="e">
        <f t="shared" si="6"/>
        <v>#VALUE!</v>
      </c>
      <c r="AW63" s="74">
        <f t="shared" si="2"/>
        <v>0.9009009009009008</v>
      </c>
      <c r="AX63" s="112">
        <f t="shared" si="2"/>
        <v>1</v>
      </c>
      <c r="BA63" s="176" t="e">
        <f>IF(AN63*AR63&gt;10,"Note value for actual Net Cashflows PFS ratio has been capped at 10 for ease of charting", " ")</f>
        <v>#VALUE!</v>
      </c>
    </row>
    <row r="64" spans="1:53" ht="30" x14ac:dyDescent="0.25">
      <c r="A64" s="202" t="s">
        <v>164</v>
      </c>
      <c r="B64" s="83" t="str">
        <f>+B31</f>
        <v>NO</v>
      </c>
      <c r="C64" s="70" t="str">
        <f>+C31</f>
        <v>NO</v>
      </c>
      <c r="D64" s="84" t="s">
        <v>46</v>
      </c>
      <c r="E64" s="82" t="s">
        <v>8</v>
      </c>
      <c r="F64" s="75" t="str">
        <f>+F31</f>
        <v>-</v>
      </c>
      <c r="G64" s="75" t="str">
        <f>+G31</f>
        <v>-</v>
      </c>
      <c r="H64" s="76" t="s">
        <v>8</v>
      </c>
      <c r="I64" s="77" t="s">
        <v>8</v>
      </c>
      <c r="J64" s="78"/>
      <c r="AF64" s="85" t="s">
        <v>47</v>
      </c>
      <c r="AG64" s="67" t="e">
        <f>1-B68</f>
        <v>#VALUE!</v>
      </c>
      <c r="AH64" s="110" t="e">
        <f>1-C68</f>
        <v>#VALUE!</v>
      </c>
      <c r="AI64" s="111">
        <v>0.5</v>
      </c>
      <c r="AJ64" s="111">
        <v>0.76</v>
      </c>
      <c r="AM64" s="85" t="s">
        <v>47</v>
      </c>
      <c r="AN64" s="74" t="e">
        <f t="shared" si="3"/>
        <v>#VALUE!</v>
      </c>
      <c r="AO64" s="112" t="e">
        <f t="shared" si="3"/>
        <v>#VALUE!</v>
      </c>
      <c r="AP64" s="113">
        <v>0.5</v>
      </c>
      <c r="AQ64" s="113">
        <v>0.76</v>
      </c>
      <c r="AR64" s="113">
        <f t="shared" si="4"/>
        <v>1.3157894736842106</v>
      </c>
      <c r="AT64" s="85" t="s">
        <v>47</v>
      </c>
      <c r="AU64" s="74" t="e">
        <f t="shared" si="5"/>
        <v>#VALUE!</v>
      </c>
      <c r="AV64" s="74" t="e">
        <f t="shared" si="6"/>
        <v>#VALUE!</v>
      </c>
      <c r="AW64" s="74">
        <f t="shared" si="2"/>
        <v>0.65789473684210531</v>
      </c>
      <c r="AX64" s="112">
        <f t="shared" si="2"/>
        <v>1</v>
      </c>
      <c r="BA64" s="176" t="e">
        <f>IF(AN64*AR64&gt;10,"Note value for actual Capitalisation PFS ratio has been capped at 10 for ease of charting", " ")</f>
        <v>#VALUE!</v>
      </c>
    </row>
    <row r="65" spans="1:53" ht="22.5" customHeight="1" x14ac:dyDescent="0.25">
      <c r="A65" s="202" t="str">
        <f>+A33</f>
        <v>4 Profitability</v>
      </c>
      <c r="B65" s="67" t="str">
        <f>+B37</f>
        <v>-</v>
      </c>
      <c r="C65" s="68" t="str">
        <f>+C37</f>
        <v>-</v>
      </c>
      <c r="D65" s="86" t="s">
        <v>48</v>
      </c>
      <c r="E65" s="70" t="s">
        <v>17</v>
      </c>
      <c r="F65" s="75" t="str">
        <f>+F37</f>
        <v>-</v>
      </c>
      <c r="G65" s="75" t="str">
        <f>+G37</f>
        <v>-</v>
      </c>
      <c r="H65" s="76" t="str">
        <f>+H37</f>
        <v>-</v>
      </c>
      <c r="I65" s="77" t="str">
        <f>+I37</f>
        <v>-</v>
      </c>
      <c r="J65" s="78"/>
      <c r="BA65" s="176" t="e">
        <f>IF(AO59*AR59&gt;10,"Note value for forecast NTA PFS ratio has been capped at 10 for ease of charting", " ")</f>
        <v>#VALUE!</v>
      </c>
    </row>
    <row r="66" spans="1:53" ht="22.5" customHeight="1" x14ac:dyDescent="0.25">
      <c r="A66" s="202" t="s">
        <v>160</v>
      </c>
      <c r="B66" s="67" t="str">
        <f>+B38</f>
        <v>-</v>
      </c>
      <c r="C66" s="68" t="str">
        <f>+C38</f>
        <v>-</v>
      </c>
      <c r="D66" s="86" t="s">
        <v>49</v>
      </c>
      <c r="E66" s="70" t="s">
        <v>8</v>
      </c>
      <c r="F66" s="75" t="str">
        <f>+F38</f>
        <v>-</v>
      </c>
      <c r="G66" s="75" t="str">
        <f>+G38</f>
        <v>-</v>
      </c>
      <c r="H66" s="76" t="s">
        <v>8</v>
      </c>
      <c r="I66" s="77" t="s">
        <v>8</v>
      </c>
      <c r="J66" s="78"/>
      <c r="AR66" t="s">
        <v>100</v>
      </c>
      <c r="BA66" s="176" t="e">
        <f>IF(AO60*AR60&gt;10,"Note value for forecast Liquid Assets PFS ratio has been capped at 10 for ease of charting", " ")</f>
        <v>#VALUE!</v>
      </c>
    </row>
    <row r="67" spans="1:53" ht="22.5" customHeight="1" x14ac:dyDescent="0.25">
      <c r="A67" s="202" t="str">
        <f>+A40</f>
        <v>5 Net cashflows</v>
      </c>
      <c r="B67" s="67" t="str">
        <f>+B44</f>
        <v>-</v>
      </c>
      <c r="C67" s="68" t="str">
        <f>+C44</f>
        <v>-</v>
      </c>
      <c r="D67" s="69">
        <v>1</v>
      </c>
      <c r="E67" s="70" t="s">
        <v>22</v>
      </c>
      <c r="F67" s="75" t="str">
        <f>+F44</f>
        <v>-</v>
      </c>
      <c r="G67" s="75" t="str">
        <f>+G44</f>
        <v>-</v>
      </c>
      <c r="H67" s="76" t="str">
        <f>+H44</f>
        <v>-</v>
      </c>
      <c r="I67" s="77" t="str">
        <f>+I44</f>
        <v>-</v>
      </c>
      <c r="J67" s="78"/>
      <c r="AF67" t="s">
        <v>73</v>
      </c>
      <c r="AM67" t="s">
        <v>74</v>
      </c>
      <c r="AR67" t="s">
        <v>95</v>
      </c>
      <c r="BA67" s="176" t="e">
        <f>IF(AO61*AR61&gt;10,"Note value for  forecast Working Capital PFS ratio has been capped at 10 for ease of charting", " ")</f>
        <v>#VALUE!</v>
      </c>
    </row>
    <row r="68" spans="1:53" ht="21.75" customHeight="1" x14ac:dyDescent="0.25">
      <c r="A68" s="202" t="str">
        <f>+A46</f>
        <v>6 Debt levels</v>
      </c>
      <c r="B68" s="67" t="str">
        <f>+B49</f>
        <v>-</v>
      </c>
      <c r="C68" s="68" t="str">
        <f>+C49</f>
        <v>-</v>
      </c>
      <c r="D68" s="86" t="s">
        <v>24</v>
      </c>
      <c r="E68" s="70" t="s">
        <v>25</v>
      </c>
      <c r="F68" s="75" t="str">
        <f>+F49</f>
        <v>-</v>
      </c>
      <c r="G68" s="75" t="str">
        <f>+G49</f>
        <v>-</v>
      </c>
      <c r="H68" s="76" t="str">
        <f>+H49</f>
        <v>-</v>
      </c>
      <c r="I68" s="77" t="str">
        <f>+I49</f>
        <v>-</v>
      </c>
      <c r="J68" s="78"/>
      <c r="AR68" t="s">
        <v>96</v>
      </c>
      <c r="BA68" s="176" t="e">
        <f>IF(AO62*AR62&gt;10,"Note value for forecast Profitability PFS ratio has been capped at 10 for ease of charting", " ")</f>
        <v>#VALUE!</v>
      </c>
    </row>
    <row r="69" spans="1:53" ht="45" x14ac:dyDescent="0.25">
      <c r="A69" s="203" t="s">
        <v>158</v>
      </c>
      <c r="B69" s="87"/>
      <c r="C69" s="88"/>
      <c r="D69" s="89"/>
      <c r="E69" s="90"/>
      <c r="F69" s="201" t="str">
        <f>+F51</f>
        <v>spreadsheet not fully populated</v>
      </c>
      <c r="G69" s="201" t="str">
        <f>+G51</f>
        <v>spreadsheet not fully populated</v>
      </c>
      <c r="H69" s="92"/>
      <c r="I69" s="93"/>
      <c r="J69" s="78"/>
      <c r="AR69" t="s">
        <v>92</v>
      </c>
      <c r="BA69" s="176" t="e">
        <f>IF(AO63*AR63&gt;10,"Note value for forecast Net Cashflows PFS ratio has been capped at 10 for ease of charting", " ")</f>
        <v>#VALUE!</v>
      </c>
    </row>
    <row r="70" spans="1:53" x14ac:dyDescent="0.25">
      <c r="AR70" t="s">
        <v>93</v>
      </c>
      <c r="BA70" s="190" t="e">
        <f>IF(AO64*AR64&gt;10,"Note value for forecast Capitalisation PFS ratio has been capped at 10 for ease of charting", " ")</f>
        <v>#VALUE!</v>
      </c>
    </row>
    <row r="71" spans="1:53" x14ac:dyDescent="0.25">
      <c r="A71" s="102" t="s">
        <v>64</v>
      </c>
      <c r="B71" s="56" t="str">
        <f>+B53</f>
        <v>No</v>
      </c>
      <c r="C71" s="56" t="str">
        <f>+C53</f>
        <v>No</v>
      </c>
      <c r="D71" s="58" t="s">
        <v>50</v>
      </c>
      <c r="E71" s="58"/>
      <c r="F71" s="58"/>
      <c r="G71" s="58"/>
      <c r="H71" s="58"/>
      <c r="I71" s="58"/>
      <c r="BA71" t="str">
        <f t="shared" ref="BA71" si="7">IF(AN71*AR71&gt;10,"Note value for actual NTA PFS ratio has been capped at 10 for ease of charting", " ")</f>
        <v xml:space="preserve"> </v>
      </c>
    </row>
    <row r="72" spans="1:53" x14ac:dyDescent="0.25">
      <c r="A72" s="102"/>
      <c r="B72" s="78"/>
      <c r="C72" s="78"/>
    </row>
    <row r="73" spans="1:53" x14ac:dyDescent="0.25">
      <c r="A73" s="102"/>
      <c r="B73" s="78"/>
      <c r="C73" s="78"/>
    </row>
    <row r="74" spans="1:53" x14ac:dyDescent="0.25">
      <c r="A74" s="1" t="s">
        <v>161</v>
      </c>
    </row>
    <row r="75" spans="1:53" x14ac:dyDescent="0.25">
      <c r="A75" s="3" t="s">
        <v>162</v>
      </c>
      <c r="K75" s="75"/>
    </row>
    <row r="77" spans="1:53" x14ac:dyDescent="0.25">
      <c r="E77" s="106" t="s">
        <v>70</v>
      </c>
      <c r="F77" t="s">
        <v>61</v>
      </c>
    </row>
    <row r="78" spans="1:53" x14ac:dyDescent="0.25">
      <c r="F78" t="s">
        <v>71</v>
      </c>
    </row>
    <row r="79" spans="1:53" x14ac:dyDescent="0.25">
      <c r="F79" t="s">
        <v>62</v>
      </c>
    </row>
    <row r="80" spans="1:53" x14ac:dyDescent="0.25">
      <c r="F80" t="s">
        <v>63</v>
      </c>
    </row>
    <row r="151" spans="1:1" x14ac:dyDescent="0.25">
      <c r="A151" t="s">
        <v>77</v>
      </c>
    </row>
  </sheetData>
  <sheetProtection password="C899" sheet="1" objects="1" scenarios="1"/>
  <mergeCells count="4">
    <mergeCell ref="F6:G6"/>
    <mergeCell ref="H6:I6"/>
    <mergeCell ref="B6:C6"/>
    <mergeCell ref="D6:E6"/>
  </mergeCells>
  <pageMargins left="0.23622047244094491" right="0.23622047244094491" top="0.74803149606299213" bottom="0.74803149606299213" header="0.31496062992125984" footer="0.31496062992125984"/>
  <pageSetup paperSize="8" scale="75" fitToHeight="3" orientation="landscape" r:id="rId1"/>
  <rowBreaks count="2" manualBreakCount="2">
    <brk id="32" max="10" man="1"/>
    <brk id="54" max="10" man="1"/>
  </rowBreaks>
  <ignoredErrors>
    <ignoredError sqref="AU59:AV64 AN64:AO64 BA59:BA70 AG64:AH64" evalError="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81"/>
  <sheetViews>
    <sheetView zoomScale="80" zoomScaleNormal="80" workbookViewId="0">
      <pane xSplit="1" ySplit="9" topLeftCell="B10" activePane="bottomRight" state="frozen"/>
      <selection pane="topRight" activeCell="B1" sqref="B1"/>
      <selection pane="bottomLeft" activeCell="A9" sqref="A9"/>
      <selection pane="bottomRight" activeCell="I5" sqref="I5"/>
    </sheetView>
  </sheetViews>
  <sheetFormatPr defaultColWidth="10.7109375" defaultRowHeight="15" x14ac:dyDescent="0.25"/>
  <cols>
    <col min="1" max="1" width="44.7109375" customWidth="1"/>
    <col min="2" max="2" width="14.85546875" customWidth="1"/>
    <col min="3" max="4" width="14.7109375" customWidth="1"/>
    <col min="5" max="5" width="15.28515625" customWidth="1"/>
    <col min="6" max="7" width="14.7109375" customWidth="1"/>
    <col min="8" max="9" width="15.28515625" customWidth="1"/>
    <col min="10" max="10" width="100.7109375" customWidth="1"/>
    <col min="31" max="31" width="32" customWidth="1"/>
    <col min="38" max="38" width="32" customWidth="1"/>
    <col min="43" max="43" width="13.5703125" customWidth="1"/>
    <col min="45" max="45" width="32.140625" customWidth="1"/>
  </cols>
  <sheetData>
    <row r="1" spans="1:10" ht="26.25" x14ac:dyDescent="0.4">
      <c r="A1" s="95" t="s">
        <v>128</v>
      </c>
    </row>
    <row r="2" spans="1:10" ht="26.25" x14ac:dyDescent="0.4">
      <c r="A2" s="95"/>
    </row>
    <row r="3" spans="1:10" ht="26.25" x14ac:dyDescent="0.4">
      <c r="A3" s="95" t="s">
        <v>4</v>
      </c>
    </row>
    <row r="4" spans="1:10" x14ac:dyDescent="0.25">
      <c r="A4" s="3"/>
    </row>
    <row r="5" spans="1:10" x14ac:dyDescent="0.25">
      <c r="A5" t="s">
        <v>67</v>
      </c>
    </row>
    <row r="6" spans="1:10" x14ac:dyDescent="0.25">
      <c r="A6" s="3"/>
    </row>
    <row r="7" spans="1:10" ht="26.25" x14ac:dyDescent="0.4">
      <c r="A7" s="4" t="s">
        <v>132</v>
      </c>
    </row>
    <row r="8" spans="1:10" ht="30" customHeight="1" x14ac:dyDescent="0.3">
      <c r="A8" s="193"/>
      <c r="B8" s="218" t="s">
        <v>163</v>
      </c>
      <c r="C8" s="219"/>
      <c r="D8" s="218" t="s">
        <v>82</v>
      </c>
      <c r="E8" s="219"/>
      <c r="F8" s="218" t="s">
        <v>129</v>
      </c>
      <c r="G8" s="219"/>
      <c r="H8" s="218" t="s">
        <v>130</v>
      </c>
      <c r="I8" s="219"/>
      <c r="J8" s="194"/>
    </row>
    <row r="9" spans="1:10" ht="30" customHeight="1" x14ac:dyDescent="0.3">
      <c r="A9" s="196" t="s">
        <v>131</v>
      </c>
      <c r="B9" s="197" t="s">
        <v>81</v>
      </c>
      <c r="C9" s="197" t="s">
        <v>37</v>
      </c>
      <c r="D9" s="197" t="s">
        <v>83</v>
      </c>
      <c r="E9" s="197" t="s">
        <v>84</v>
      </c>
      <c r="F9" s="197" t="s">
        <v>85</v>
      </c>
      <c r="G9" s="197" t="s">
        <v>37</v>
      </c>
      <c r="H9" s="197" t="s">
        <v>85</v>
      </c>
      <c r="I9" s="197" t="s">
        <v>37</v>
      </c>
      <c r="J9" s="198" t="s">
        <v>65</v>
      </c>
    </row>
    <row r="10" spans="1:10" ht="18.75" x14ac:dyDescent="0.3">
      <c r="A10" s="183" t="s">
        <v>133</v>
      </c>
      <c r="F10" s="50"/>
      <c r="G10" s="5"/>
      <c r="I10" s="78"/>
      <c r="J10" s="176"/>
    </row>
    <row r="11" spans="1:10" ht="30" x14ac:dyDescent="0.25">
      <c r="A11" s="180" t="s">
        <v>134</v>
      </c>
      <c r="B11" s="135">
        <v>2000000</v>
      </c>
      <c r="C11" s="136"/>
      <c r="D11" s="9"/>
      <c r="E11" s="9"/>
      <c r="F11" s="169"/>
      <c r="G11" s="10"/>
      <c r="H11" s="9"/>
      <c r="I11" s="9"/>
      <c r="J11" s="177" t="s">
        <v>115</v>
      </c>
    </row>
    <row r="12" spans="1:10" ht="22.5" customHeight="1" x14ac:dyDescent="0.25">
      <c r="A12" s="180" t="s">
        <v>135</v>
      </c>
      <c r="B12" s="137">
        <v>600000</v>
      </c>
      <c r="C12" s="138"/>
      <c r="D12" s="13"/>
      <c r="E12" s="13"/>
      <c r="F12" s="169"/>
      <c r="G12" s="10"/>
      <c r="H12" s="13"/>
      <c r="I12" s="9"/>
      <c r="J12" s="177" t="s">
        <v>116</v>
      </c>
    </row>
    <row r="13" spans="1:10" ht="30" x14ac:dyDescent="0.25">
      <c r="A13" s="180" t="s">
        <v>136</v>
      </c>
      <c r="B13" s="139">
        <v>24200000</v>
      </c>
      <c r="C13" s="140"/>
      <c r="D13" s="13"/>
      <c r="E13" s="13"/>
      <c r="F13" s="169"/>
      <c r="G13" s="10"/>
      <c r="H13" s="13"/>
      <c r="I13" s="9"/>
      <c r="J13" s="177" t="s">
        <v>117</v>
      </c>
    </row>
    <row r="14" spans="1:10" ht="22.5" customHeight="1" x14ac:dyDescent="0.25">
      <c r="A14" s="180" t="s">
        <v>137</v>
      </c>
      <c r="B14" s="141">
        <v>9700000</v>
      </c>
      <c r="C14" s="140"/>
      <c r="D14" s="13"/>
      <c r="E14" s="13"/>
      <c r="F14" s="169"/>
      <c r="G14" s="10"/>
      <c r="H14" s="13"/>
      <c r="I14" s="9"/>
      <c r="J14" s="177" t="s">
        <v>66</v>
      </c>
    </row>
    <row r="15" spans="1:10" ht="30" x14ac:dyDescent="0.25">
      <c r="A15" s="180" t="s">
        <v>69</v>
      </c>
      <c r="B15" s="141">
        <v>100000</v>
      </c>
      <c r="C15" s="142"/>
      <c r="D15" s="13"/>
      <c r="E15" s="13"/>
      <c r="F15" s="169"/>
      <c r="G15" s="10"/>
      <c r="H15" s="13"/>
      <c r="I15" s="9"/>
      <c r="J15" s="177" t="s">
        <v>57</v>
      </c>
    </row>
    <row r="16" spans="1:10" ht="30" customHeight="1" x14ac:dyDescent="0.25">
      <c r="A16" s="181" t="s">
        <v>138</v>
      </c>
      <c r="B16" s="21">
        <f>IFERROR(+(B11-B12)/B13,"-")</f>
        <v>5.7851239669421489E-2</v>
      </c>
      <c r="C16" s="21" t="str">
        <f>IFERROR(+(C11-C12)/C13,"-")</f>
        <v>-</v>
      </c>
      <c r="D16" s="22">
        <v>0.02</v>
      </c>
      <c r="E16" s="23" t="s">
        <v>5</v>
      </c>
      <c r="F16" s="24" t="str">
        <f>IF(B16="-","-",IF(B16&gt;0.0199999,"PASS","FAIL"))</f>
        <v>PASS</v>
      </c>
      <c r="G16" s="24" t="str">
        <f>IF(C16="-","-",IF(C16&gt;0.0199999,"PASS","FAIL"))</f>
        <v>-</v>
      </c>
      <c r="H16" s="25" t="str">
        <f>IF(B16="-","-",IF(B16&gt;0.02,"PASS","FAIL"))</f>
        <v>PASS</v>
      </c>
      <c r="I16" s="31" t="str">
        <f>IF(C16="-","-",IF(C16&gt;0.02,"PASS","FAIL"))</f>
        <v>-</v>
      </c>
      <c r="J16" s="177" t="s">
        <v>167</v>
      </c>
    </row>
    <row r="17" spans="1:10" ht="29.25" customHeight="1" x14ac:dyDescent="0.25">
      <c r="A17" s="181" t="s">
        <v>139</v>
      </c>
      <c r="B17" s="21">
        <f>IFERROR(+(B11-B12)/(B14-B12-B15),"-")</f>
        <v>0.15555555555555556</v>
      </c>
      <c r="C17" s="21" t="str">
        <f>IFERROR(+(C11-C12)/(C14-C12-C15),"-")</f>
        <v>-</v>
      </c>
      <c r="D17" s="22" t="s">
        <v>6</v>
      </c>
      <c r="E17" s="23" t="s">
        <v>7</v>
      </c>
      <c r="F17" s="33" t="s">
        <v>8</v>
      </c>
      <c r="G17" s="25" t="s">
        <v>8</v>
      </c>
      <c r="H17" s="25" t="str">
        <f>IF(B17="-","-",IF(B17&gt;0.6,"PASS","FAIL"))</f>
        <v>FAIL</v>
      </c>
      <c r="I17" s="31" t="str">
        <f>IF(C17="-","-",IF(C17&gt;0.6,"PASS","FAIL"))</f>
        <v>-</v>
      </c>
      <c r="J17" s="177" t="s">
        <v>119</v>
      </c>
    </row>
    <row r="18" spans="1:10" x14ac:dyDescent="0.25">
      <c r="A18" s="182" t="s">
        <v>165</v>
      </c>
      <c r="B18" s="27">
        <f t="shared" ref="B18:C18" si="0">+B11-B12</f>
        <v>1400000</v>
      </c>
      <c r="C18" s="27">
        <f t="shared" si="0"/>
        <v>0</v>
      </c>
      <c r="D18" s="28">
        <v>50000</v>
      </c>
      <c r="E18" s="29" t="s">
        <v>6</v>
      </c>
      <c r="F18" s="30" t="str">
        <f>IF(ISNUMBER(B11),IF(B18&gt;50000,"PASS","FAIL"),"-")</f>
        <v>PASS</v>
      </c>
      <c r="G18" s="30" t="str">
        <f>IF(ISNUMBER(C11),IF(C18&gt;50000,"PASS","FAIL"),"-")</f>
        <v>-</v>
      </c>
      <c r="H18" s="33" t="s">
        <v>8</v>
      </c>
      <c r="I18" s="31" t="s">
        <v>8</v>
      </c>
      <c r="J18" s="177" t="s">
        <v>120</v>
      </c>
    </row>
    <row r="19" spans="1:10" x14ac:dyDescent="0.25">
      <c r="A19" s="176"/>
      <c r="F19" s="50"/>
      <c r="G19" s="5"/>
      <c r="I19" s="78"/>
      <c r="J19" s="177"/>
    </row>
    <row r="20" spans="1:10" ht="18.75" x14ac:dyDescent="0.3">
      <c r="A20" s="183" t="s">
        <v>140</v>
      </c>
      <c r="F20" s="50"/>
      <c r="G20" s="5"/>
      <c r="I20" s="78"/>
      <c r="J20" s="177"/>
    </row>
    <row r="21" spans="1:10" ht="30" customHeight="1" x14ac:dyDescent="0.25">
      <c r="A21" s="180" t="s">
        <v>9</v>
      </c>
      <c r="B21" s="143">
        <v>3800000</v>
      </c>
      <c r="C21" s="136"/>
      <c r="F21" s="50"/>
      <c r="G21" s="5"/>
      <c r="I21" s="78"/>
      <c r="J21" s="177" t="s">
        <v>55</v>
      </c>
    </row>
    <row r="22" spans="1:10" ht="30" customHeight="1" x14ac:dyDescent="0.25">
      <c r="A22" s="180" t="s">
        <v>141</v>
      </c>
      <c r="B22" s="144">
        <v>100000</v>
      </c>
      <c r="C22" s="138"/>
      <c r="F22" s="50"/>
      <c r="G22" s="5"/>
      <c r="I22" s="78"/>
      <c r="J22" s="177" t="s">
        <v>58</v>
      </c>
    </row>
    <row r="23" spans="1:10" ht="60" customHeight="1" x14ac:dyDescent="0.25">
      <c r="A23" s="180" t="s">
        <v>10</v>
      </c>
      <c r="B23" s="144">
        <v>50000</v>
      </c>
      <c r="C23" s="138"/>
      <c r="F23" s="50"/>
      <c r="G23" s="5"/>
      <c r="I23" s="78"/>
      <c r="J23" s="177" t="s">
        <v>87</v>
      </c>
    </row>
    <row r="24" spans="1:10" ht="59.25" customHeight="1" x14ac:dyDescent="0.25">
      <c r="A24" s="180" t="s">
        <v>21</v>
      </c>
      <c r="B24" s="145">
        <v>20700000</v>
      </c>
      <c r="C24" s="146"/>
      <c r="F24" s="50"/>
      <c r="G24" s="5"/>
      <c r="I24" s="78"/>
      <c r="J24" s="177" t="s">
        <v>121</v>
      </c>
    </row>
    <row r="25" spans="1:10" ht="45" customHeight="1" x14ac:dyDescent="0.25">
      <c r="A25" s="181" t="s">
        <v>148</v>
      </c>
      <c r="B25" s="20">
        <f>IFERROR(+(B21+B22+B23)/B24,"-")</f>
        <v>0.19082125603864733</v>
      </c>
      <c r="C25" s="21" t="str">
        <f>IFERROR(+(C21+C22+C23)/C24,"-")</f>
        <v>-</v>
      </c>
      <c r="D25" s="22">
        <v>0.05</v>
      </c>
      <c r="E25" s="32" t="s">
        <v>11</v>
      </c>
      <c r="F25" s="33" t="str">
        <f>IF(ISNUMBER(B21),IF(B25&gt;0.049999,"PASS","FAIL"),"-")</f>
        <v>PASS</v>
      </c>
      <c r="G25" s="33" t="str">
        <f>IF(ISNUMBER(C21),IF(C25&gt;0.049999,"PASS","FAIL"),"-")</f>
        <v>-</v>
      </c>
      <c r="H25" s="25" t="str">
        <f>IF(ISNUMBER(B21),IF(B25&gt;0.079999,"PASS","FAIL"),"-")</f>
        <v>PASS</v>
      </c>
      <c r="I25" s="31" t="str">
        <f>IF(ISNUMBER(C21),IF(C25&gt;0.079999,"PASS","FAIL"),"-")</f>
        <v>-</v>
      </c>
      <c r="J25" s="177" t="s">
        <v>118</v>
      </c>
    </row>
    <row r="26" spans="1:10" x14ac:dyDescent="0.25">
      <c r="A26" s="177"/>
      <c r="F26" s="50"/>
      <c r="G26" s="5"/>
      <c r="I26" s="78"/>
      <c r="J26" s="177"/>
    </row>
    <row r="27" spans="1:10" ht="18.75" x14ac:dyDescent="0.3">
      <c r="A27" s="183" t="s">
        <v>142</v>
      </c>
      <c r="F27" s="50"/>
      <c r="G27" s="5"/>
      <c r="I27" s="78"/>
      <c r="J27" s="177"/>
    </row>
    <row r="28" spans="1:10" ht="22.5" customHeight="1" x14ac:dyDescent="0.25">
      <c r="A28" s="180" t="s">
        <v>143</v>
      </c>
      <c r="B28" s="147">
        <v>7900000</v>
      </c>
      <c r="C28" s="147"/>
      <c r="F28" s="50"/>
      <c r="G28" s="5"/>
      <c r="I28" s="78"/>
      <c r="J28" s="177" t="s">
        <v>86</v>
      </c>
    </row>
    <row r="29" spans="1:10" ht="21" customHeight="1" x14ac:dyDescent="0.25">
      <c r="A29" s="180" t="s">
        <v>144</v>
      </c>
      <c r="B29" s="148">
        <v>7700000</v>
      </c>
      <c r="C29" s="148"/>
      <c r="F29" s="50"/>
      <c r="G29" s="5"/>
      <c r="I29" s="78"/>
      <c r="J29" s="177" t="s">
        <v>86</v>
      </c>
    </row>
    <row r="30" spans="1:10" ht="22.5" customHeight="1" x14ac:dyDescent="0.25">
      <c r="A30" s="180" t="s">
        <v>145</v>
      </c>
      <c r="B30" s="16">
        <f>+B28-B29</f>
        <v>200000</v>
      </c>
      <c r="C30" s="37">
        <f>+C28-C29</f>
        <v>0</v>
      </c>
      <c r="F30" s="50"/>
      <c r="G30" s="5"/>
      <c r="I30" s="78"/>
      <c r="J30" s="177" t="s">
        <v>86</v>
      </c>
    </row>
    <row r="31" spans="1:10" ht="30" customHeight="1" x14ac:dyDescent="0.25">
      <c r="A31" s="180" t="s">
        <v>146</v>
      </c>
      <c r="B31" s="19">
        <f>+B43-B44</f>
        <v>3500000</v>
      </c>
      <c r="C31" s="38">
        <f>+C43-C44</f>
        <v>0</v>
      </c>
      <c r="F31" s="50"/>
      <c r="G31" s="5"/>
      <c r="I31" s="78"/>
      <c r="J31" s="178" t="s">
        <v>60</v>
      </c>
    </row>
    <row r="32" spans="1:10" x14ac:dyDescent="0.25">
      <c r="A32" s="181" t="s">
        <v>147</v>
      </c>
      <c r="B32" s="20">
        <f>IFERROR(+B28/B29,"-")</f>
        <v>1.025974025974026</v>
      </c>
      <c r="C32" s="21" t="str">
        <f>IFERROR(+C28/C29,"-")</f>
        <v>-</v>
      </c>
      <c r="D32" s="22">
        <v>0.75</v>
      </c>
      <c r="E32" s="32" t="s">
        <v>12</v>
      </c>
      <c r="F32" s="33" t="str">
        <f>IF(ISNUMBER(B28),IF(B32&gt;0.749999,"PASS","FAIL"),"-")</f>
        <v>PASS</v>
      </c>
      <c r="G32" s="33" t="str">
        <f>IF(ISNUMBER(C28),IF(C32&gt;0.749999,"PASS","FAIL"),"-")</f>
        <v>-</v>
      </c>
      <c r="H32" s="25" t="str">
        <f>IF(ISNUMBER(B28),IF(B32&gt;0.9999,"PASS","FAIL"),"-")</f>
        <v>PASS</v>
      </c>
      <c r="I32" s="31" t="str">
        <f>IF(ISNUMBER(C28),IF(C32&gt;0.9999,"PASS","FAIL"),"-")</f>
        <v>-</v>
      </c>
      <c r="J32" s="177" t="s">
        <v>56</v>
      </c>
    </row>
    <row r="33" spans="1:10" ht="60" customHeight="1" x14ac:dyDescent="0.25">
      <c r="A33" s="182" t="s">
        <v>166</v>
      </c>
      <c r="B33" s="184" t="s">
        <v>13</v>
      </c>
      <c r="C33" s="40" t="str">
        <f>IF(C30&gt;-0.00001,"NO","YES")</f>
        <v>NO</v>
      </c>
      <c r="D33" s="41" t="s">
        <v>14</v>
      </c>
      <c r="E33" s="42" t="s">
        <v>8</v>
      </c>
      <c r="F33" s="33" t="str">
        <f>IF(ISNUMBER(B28),IF(B30&lt;0,IF(B45&gt;-B30,"PASS","FAIL"),"PASS"),"-")</f>
        <v>PASS</v>
      </c>
      <c r="G33" s="33" t="str">
        <f>IF(ISNUMBER(C28),IF(C30&lt;0,IF(C45&gt;-C30,"PASS","FAIL"),"PASS"),"-")</f>
        <v>-</v>
      </c>
      <c r="H33" s="33" t="s">
        <v>8</v>
      </c>
      <c r="I33" s="31" t="s">
        <v>8</v>
      </c>
      <c r="J33" s="179" t="s">
        <v>122</v>
      </c>
    </row>
    <row r="34" spans="1:10" s="78" customFormat="1" x14ac:dyDescent="0.25">
      <c r="A34" s="158"/>
      <c r="F34" s="9"/>
      <c r="J34" s="158"/>
    </row>
    <row r="35" spans="1:10" ht="18.75" x14ac:dyDescent="0.3">
      <c r="A35" s="155" t="s">
        <v>15</v>
      </c>
      <c r="B35" s="154"/>
      <c r="C35" s="154"/>
      <c r="D35" s="154"/>
      <c r="E35" s="154"/>
      <c r="F35" s="174"/>
      <c r="G35" s="175"/>
      <c r="H35" s="154"/>
      <c r="I35" s="154"/>
      <c r="J35" s="185"/>
    </row>
    <row r="36" spans="1:10" ht="30" customHeight="1" x14ac:dyDescent="0.25">
      <c r="A36" s="6" t="s">
        <v>149</v>
      </c>
      <c r="B36" s="151">
        <v>2500000</v>
      </c>
      <c r="C36" s="150"/>
      <c r="D36" s="78"/>
      <c r="E36" s="78"/>
      <c r="F36" s="50"/>
      <c r="G36" s="5"/>
      <c r="H36" s="78"/>
      <c r="I36" s="78"/>
      <c r="J36" s="177" t="s">
        <v>123</v>
      </c>
    </row>
    <row r="37" spans="1:10" ht="30" customHeight="1" x14ac:dyDescent="0.25">
      <c r="A37" s="6" t="s">
        <v>136</v>
      </c>
      <c r="B37" s="37">
        <f>+B13</f>
        <v>24200000</v>
      </c>
      <c r="C37" s="37">
        <f>+C13</f>
        <v>0</v>
      </c>
      <c r="D37" s="78"/>
      <c r="E37" s="78"/>
      <c r="F37" s="50"/>
      <c r="G37" s="5"/>
      <c r="H37" s="78"/>
      <c r="I37" s="78"/>
      <c r="J37" s="177" t="s">
        <v>59</v>
      </c>
    </row>
    <row r="38" spans="1:10" ht="30" customHeight="1" x14ac:dyDescent="0.25">
      <c r="A38" s="6" t="s">
        <v>150</v>
      </c>
      <c r="B38" s="47">
        <f>+B18</f>
        <v>1400000</v>
      </c>
      <c r="C38" s="47">
        <f>+C18</f>
        <v>0</v>
      </c>
      <c r="D38" s="162"/>
      <c r="E38" s="162"/>
      <c r="F38" s="87"/>
      <c r="G38" s="88"/>
      <c r="H38" s="162"/>
      <c r="I38" s="162"/>
      <c r="J38" s="177" t="s">
        <v>124</v>
      </c>
    </row>
    <row r="39" spans="1:10" ht="60" x14ac:dyDescent="0.25">
      <c r="A39" s="156" t="s">
        <v>151</v>
      </c>
      <c r="B39" s="20">
        <f>IFERROR(+B36/B37,"-")</f>
        <v>0.10330578512396695</v>
      </c>
      <c r="C39" s="21" t="str">
        <f>IFERROR(+C36/C37,"-")</f>
        <v>-</v>
      </c>
      <c r="D39" s="22" t="s">
        <v>16</v>
      </c>
      <c r="E39" s="32" t="s">
        <v>17</v>
      </c>
      <c r="F39" s="33" t="str">
        <f>IF(ISNUMBER(B36),IF(B39&gt;-0.08,"PASS","FAIL"),"-")</f>
        <v>PASS</v>
      </c>
      <c r="G39" s="33" t="str">
        <f>IF(ISNUMBER(C36),IF(C39&gt;-0.08,"PASS","FAIL"),"-")</f>
        <v>-</v>
      </c>
      <c r="H39" s="25" t="str">
        <f>IF(ISNUMBER(B36),IF(B39&gt;0.029999,"PASS","FAIL"),"-")</f>
        <v>PASS</v>
      </c>
      <c r="I39" s="31" t="str">
        <f>IF(ISNUMBER(C36),IF(C39&gt;0.029999,"PASS","FAIL"),"-")</f>
        <v>-</v>
      </c>
      <c r="J39" s="177"/>
    </row>
    <row r="40" spans="1:10" ht="60" x14ac:dyDescent="0.25">
      <c r="A40" s="157" t="s">
        <v>152</v>
      </c>
      <c r="B40" s="48">
        <f>IFERROR(+B36/B11,"-")</f>
        <v>1.25</v>
      </c>
      <c r="C40" s="49" t="str">
        <f>IFERROR(+C36/C11,"-")</f>
        <v>-</v>
      </c>
      <c r="D40" s="41" t="s">
        <v>18</v>
      </c>
      <c r="E40" s="42" t="s">
        <v>8</v>
      </c>
      <c r="F40" s="33" t="str">
        <f>IF(ISNUMBER(B36), IF(B40&gt;-0.3,"PASS","FAIL"),"-")</f>
        <v>PASS</v>
      </c>
      <c r="G40" s="33" t="str">
        <f>IF(ISNUMBER(C36), IF(C40&gt;-0.3,"PASS","FAIL"),"-")</f>
        <v>-</v>
      </c>
      <c r="H40" s="31" t="s">
        <v>8</v>
      </c>
      <c r="I40" s="33" t="s">
        <v>8</v>
      </c>
      <c r="J40" s="177"/>
    </row>
    <row r="41" spans="1:10" x14ac:dyDescent="0.25">
      <c r="A41" s="78"/>
      <c r="F41" s="50"/>
      <c r="G41" s="5"/>
      <c r="I41" s="78"/>
      <c r="J41" s="177"/>
    </row>
    <row r="42" spans="1:10" ht="18.75" x14ac:dyDescent="0.3">
      <c r="A42" s="155" t="s">
        <v>153</v>
      </c>
      <c r="F42" s="50"/>
      <c r="G42" s="5"/>
      <c r="I42" s="78"/>
      <c r="J42" s="177"/>
    </row>
    <row r="43" spans="1:10" ht="30" x14ac:dyDescent="0.25">
      <c r="A43" s="6" t="s">
        <v>20</v>
      </c>
      <c r="B43" s="149">
        <v>24200000</v>
      </c>
      <c r="C43" s="150"/>
      <c r="F43" s="50"/>
      <c r="G43" s="5"/>
      <c r="I43" s="78"/>
      <c r="J43" s="177" t="s">
        <v>88</v>
      </c>
    </row>
    <row r="44" spans="1:10" ht="30" x14ac:dyDescent="0.25">
      <c r="A44" s="6" t="s">
        <v>21</v>
      </c>
      <c r="B44" s="107">
        <f>+B24</f>
        <v>20700000</v>
      </c>
      <c r="C44" s="47">
        <f>+C24</f>
        <v>0</v>
      </c>
      <c r="F44" s="50"/>
      <c r="G44" s="5"/>
      <c r="I44" s="78"/>
      <c r="J44" s="177" t="s">
        <v>89</v>
      </c>
    </row>
    <row r="45" spans="1:10" ht="22.5" customHeight="1" x14ac:dyDescent="0.25">
      <c r="A45" s="6" t="s">
        <v>154</v>
      </c>
      <c r="B45" s="108">
        <f>+B43-B44</f>
        <v>3500000</v>
      </c>
      <c r="C45" s="47">
        <f>+C43-C44</f>
        <v>0</v>
      </c>
      <c r="F45" s="50"/>
      <c r="G45" s="5"/>
      <c r="I45" s="78"/>
      <c r="J45" s="177" t="s">
        <v>90</v>
      </c>
    </row>
    <row r="46" spans="1:10" ht="30" customHeight="1" x14ac:dyDescent="0.25">
      <c r="A46" s="156" t="s">
        <v>155</v>
      </c>
      <c r="B46" s="20">
        <f>IFERROR(+B43/B44,"-")</f>
        <v>1.1690821256038648</v>
      </c>
      <c r="C46" s="20" t="str">
        <f>IFERROR(+C43/C44,"-")</f>
        <v>-</v>
      </c>
      <c r="D46" s="22">
        <v>1</v>
      </c>
      <c r="E46" s="32" t="s">
        <v>22</v>
      </c>
      <c r="F46" s="33" t="str">
        <f>IF(ISNUMBER(B43),IF(B46&gt;0.99991,"PASS","FAIL"),"-")</f>
        <v>PASS</v>
      </c>
      <c r="G46" s="33" t="str">
        <f>IF(ISNUMBER(C43),IF(C46&gt;0.99991,"PASS","FAIL"),"-")</f>
        <v>-</v>
      </c>
      <c r="H46" s="25" t="str">
        <f>IF(ISNUMBER(B43),IF(B46&gt;1.109999,"PASS","FAIL"),"-")</f>
        <v>PASS</v>
      </c>
      <c r="I46" s="31" t="str">
        <f>IF(ISNUMBER(C43),IF(C46&gt;1.109999,"PASS","FAIL"),"-")</f>
        <v>-</v>
      </c>
      <c r="J46" s="177" t="s">
        <v>125</v>
      </c>
    </row>
    <row r="47" spans="1:10" x14ac:dyDescent="0.25">
      <c r="A47" s="78"/>
      <c r="F47" s="50"/>
      <c r="G47" s="5"/>
      <c r="I47" s="78"/>
      <c r="J47" s="177"/>
    </row>
    <row r="48" spans="1:10" ht="18.75" x14ac:dyDescent="0.3">
      <c r="A48" s="155" t="s">
        <v>23</v>
      </c>
      <c r="F48" s="50"/>
      <c r="G48" s="5"/>
      <c r="I48" s="78"/>
      <c r="J48" s="177"/>
    </row>
    <row r="49" spans="1:49" ht="45" x14ac:dyDescent="0.25">
      <c r="A49" s="6" t="s">
        <v>156</v>
      </c>
      <c r="B49" s="149">
        <v>240000</v>
      </c>
      <c r="C49" s="150"/>
      <c r="F49" s="50"/>
      <c r="G49" s="5"/>
      <c r="I49" s="78"/>
      <c r="J49" s="177" t="s">
        <v>126</v>
      </c>
    </row>
    <row r="50" spans="1:49" ht="22.5" customHeight="1" x14ac:dyDescent="0.25">
      <c r="A50" s="6" t="s">
        <v>150</v>
      </c>
      <c r="B50" s="109">
        <f>+B18</f>
        <v>1400000</v>
      </c>
      <c r="C50" s="47">
        <f>+C18</f>
        <v>0</v>
      </c>
      <c r="F50" s="50"/>
      <c r="G50" s="5"/>
      <c r="I50" s="162"/>
      <c r="J50" s="177" t="s">
        <v>127</v>
      </c>
    </row>
    <row r="51" spans="1:49" ht="34.5" customHeight="1" x14ac:dyDescent="0.25">
      <c r="A51" s="156" t="s">
        <v>157</v>
      </c>
      <c r="B51" s="20">
        <f>IFERROR(+B49/(B49+B50),"-")</f>
        <v>0.14634146341463414</v>
      </c>
      <c r="C51" s="20" t="str">
        <f>IFERROR(+C49/(C49+C50),"-")</f>
        <v>-</v>
      </c>
      <c r="D51" s="22" t="s">
        <v>24</v>
      </c>
      <c r="E51" s="32" t="s">
        <v>25</v>
      </c>
      <c r="F51" s="33" t="str">
        <f>IF(ISNUMBER(B49),IF(B51&lt;0.5,"PASS","FAIL"),"-")</f>
        <v>PASS</v>
      </c>
      <c r="G51" s="33" t="str">
        <f>IF(ISNUMBER(C49),IF(C51&lt;0.5,"PASS","FAIL"),"-")</f>
        <v>-</v>
      </c>
      <c r="H51" s="25" t="str">
        <f>IF(ISNUMBER(B49),IF(B51&lt;0.33,"PASS","FAIL"),"-")</f>
        <v>PASS</v>
      </c>
      <c r="I51" s="31" t="str">
        <f>IF(ISNUMBER(C49),IF(C51&lt;0.33,"PASS","FAIL"),"-")</f>
        <v>-</v>
      </c>
      <c r="J51" s="177"/>
    </row>
    <row r="52" spans="1:49" x14ac:dyDescent="0.25">
      <c r="A52" s="78"/>
      <c r="F52" s="50"/>
      <c r="G52" s="170"/>
      <c r="I52" s="154"/>
      <c r="J52" s="176"/>
    </row>
    <row r="53" spans="1:49" ht="45" customHeight="1" x14ac:dyDescent="0.3">
      <c r="A53" s="159" t="s">
        <v>158</v>
      </c>
      <c r="B53" s="51"/>
      <c r="C53" s="51"/>
      <c r="D53" s="51"/>
      <c r="E53" s="51"/>
      <c r="F53" s="52" t="str">
        <f>IF(L55=14,IF(L53&gt;0,"FAIL","PASS"),"spreadsheet not fully populated")</f>
        <v>PASS</v>
      </c>
      <c r="G53" s="52" t="str">
        <f>IF(M55=14,IF(M53&gt;0,"FAIL","PASS"),"spreadsheet not fully populated")</f>
        <v>spreadsheet not fully populated</v>
      </c>
      <c r="J53" s="179" t="s">
        <v>168</v>
      </c>
      <c r="L53" s="33">
        <f>COUNTIF(F16:F18,"FAIL")+COUNTIF(F25,"FAIL")+COUNTIF(F32,"FAIL")+COUNTIF(F33,"FAIL")+COUNTIF(F39,"FAIL")+COUNTIF(F40,"FAIL")+COUNTIF(F46,"FAIL")+COUNTIF(F51,"FAIL")</f>
        <v>0</v>
      </c>
      <c r="M53" s="33">
        <f>COUNTIF(G16:G18,"FAIL")+COUNTIF(G25,"FAIL")+COUNTIF(G32,"FAIL")+COUNTIF(G33,"FAIL")+COUNTIF(G39,"FAIL")+COUNTIF(G40,"FAIL")+COUNTIF(G46,"FAIL")+COUNTIF(G51,"FAIL")</f>
        <v>0</v>
      </c>
    </row>
    <row r="54" spans="1:49" ht="18.75" x14ac:dyDescent="0.3">
      <c r="A54" s="53"/>
      <c r="B54" s="54"/>
      <c r="C54" s="54"/>
      <c r="D54" s="54"/>
      <c r="E54" s="54"/>
      <c r="F54" s="9"/>
      <c r="G54" s="54"/>
      <c r="J54" s="55"/>
    </row>
    <row r="55" spans="1:49" x14ac:dyDescent="0.25">
      <c r="A55" s="78" t="s">
        <v>64</v>
      </c>
      <c r="B55" s="56" t="str">
        <f>IF(L55=14,"Yes","No")</f>
        <v>Yes</v>
      </c>
      <c r="C55" s="56" t="str">
        <f>IF(M55=14,"Yes","No")</f>
        <v>No</v>
      </c>
      <c r="D55" s="57" t="s">
        <v>26</v>
      </c>
      <c r="E55" s="58"/>
      <c r="F55" s="58"/>
      <c r="G55" s="58"/>
      <c r="H55" s="58"/>
      <c r="I55" s="58"/>
      <c r="L55" s="56">
        <f>COUNT(B11,B12,B13,B14,B15,B21,B22,B23,B24,B28,B29,B36,B43,B49)</f>
        <v>14</v>
      </c>
      <c r="M55" s="56">
        <f>COUNT(C11,C12,C13,C14,C15,C21,C22,C23,C24,C28,C29,C36,C43,C49)</f>
        <v>0</v>
      </c>
    </row>
    <row r="56" spans="1:49" x14ac:dyDescent="0.25">
      <c r="A56" s="78"/>
    </row>
    <row r="57" spans="1:49" ht="26.25" x14ac:dyDescent="0.4">
      <c r="A57" s="161" t="s">
        <v>169</v>
      </c>
    </row>
    <row r="58" spans="1:49" x14ac:dyDescent="0.25">
      <c r="A58" s="199"/>
      <c r="B58" s="59" t="s">
        <v>27</v>
      </c>
      <c r="C58" s="60"/>
      <c r="D58" s="61" t="s">
        <v>28</v>
      </c>
      <c r="E58" s="60"/>
      <c r="F58" s="62" t="s">
        <v>29</v>
      </c>
      <c r="G58" s="63" t="s">
        <v>29</v>
      </c>
      <c r="H58" s="62" t="s">
        <v>29</v>
      </c>
      <c r="I58" s="63" t="s">
        <v>29</v>
      </c>
      <c r="J58" s="64"/>
    </row>
    <row r="59" spans="1:49" x14ac:dyDescent="0.25">
      <c r="A59" s="200" t="s">
        <v>30</v>
      </c>
      <c r="B59" s="186" t="s">
        <v>78</v>
      </c>
      <c r="C59" s="186" t="s">
        <v>78</v>
      </c>
      <c r="D59" s="187" t="s">
        <v>33</v>
      </c>
      <c r="E59" s="187" t="s">
        <v>34</v>
      </c>
      <c r="F59" s="187" t="s">
        <v>33</v>
      </c>
      <c r="G59" s="187" t="s">
        <v>33</v>
      </c>
      <c r="H59" s="187" t="s">
        <v>34</v>
      </c>
      <c r="I59" s="187" t="s">
        <v>34</v>
      </c>
      <c r="J59" s="54"/>
      <c r="AE59" t="s">
        <v>35</v>
      </c>
    </row>
    <row r="60" spans="1:49" ht="19.5" customHeight="1" x14ac:dyDescent="0.25">
      <c r="A60" s="200"/>
      <c r="B60" s="188" t="s">
        <v>36</v>
      </c>
      <c r="C60" s="188" t="s">
        <v>37</v>
      </c>
      <c r="D60" s="189"/>
      <c r="E60" s="189"/>
      <c r="F60" s="189" t="s">
        <v>36</v>
      </c>
      <c r="G60" s="189" t="s">
        <v>37</v>
      </c>
      <c r="H60" s="189" t="s">
        <v>36</v>
      </c>
      <c r="I60" s="189" t="s">
        <v>37</v>
      </c>
      <c r="J60" s="54"/>
      <c r="AE60" s="171" t="s">
        <v>30</v>
      </c>
      <c r="AF60" s="65" t="s">
        <v>31</v>
      </c>
      <c r="AG60" s="66" t="s">
        <v>32</v>
      </c>
      <c r="AH60" s="65" t="s">
        <v>38</v>
      </c>
      <c r="AI60" s="66" t="s">
        <v>39</v>
      </c>
      <c r="AL60" s="171" t="s">
        <v>30</v>
      </c>
      <c r="AM60" s="66" t="s">
        <v>31</v>
      </c>
      <c r="AN60" s="66" t="s">
        <v>32</v>
      </c>
      <c r="AO60" s="66" t="s">
        <v>38</v>
      </c>
      <c r="AP60" s="66" t="s">
        <v>39</v>
      </c>
      <c r="AQ60" s="66" t="s">
        <v>40</v>
      </c>
      <c r="AS60" s="171" t="s">
        <v>30</v>
      </c>
      <c r="AT60" s="65" t="s">
        <v>31</v>
      </c>
      <c r="AU60" s="66" t="s">
        <v>32</v>
      </c>
      <c r="AV60" s="65" t="s">
        <v>38</v>
      </c>
      <c r="AW60" s="66" t="s">
        <v>39</v>
      </c>
    </row>
    <row r="61" spans="1:49" ht="22.5" customHeight="1" x14ac:dyDescent="0.25">
      <c r="A61" s="176" t="str">
        <f>+A10</f>
        <v>1  Net tangible assets (NTA)</v>
      </c>
      <c r="B61" s="67">
        <f t="shared" ref="B61:C63" si="1">+B16</f>
        <v>5.7851239669421489E-2</v>
      </c>
      <c r="C61" s="68" t="str">
        <f t="shared" si="1"/>
        <v>-</v>
      </c>
      <c r="D61" s="69">
        <v>0.02</v>
      </c>
      <c r="E61" s="70" t="s">
        <v>5</v>
      </c>
      <c r="F61" s="71" t="str">
        <f>+F16</f>
        <v>PASS</v>
      </c>
      <c r="G61" s="71" t="str">
        <f>+G16</f>
        <v>-</v>
      </c>
      <c r="H61" s="72" t="str">
        <f>+H16</f>
        <v>PASS</v>
      </c>
      <c r="I61" s="73" t="str">
        <f>+I16</f>
        <v>-</v>
      </c>
      <c r="J61" s="54"/>
      <c r="AE61" s="50" t="s">
        <v>41</v>
      </c>
      <c r="AF61" s="67">
        <f>+B61</f>
        <v>5.7851239669421489E-2</v>
      </c>
      <c r="AG61" s="110" t="str">
        <f>+C61</f>
        <v>-</v>
      </c>
      <c r="AH61" s="111">
        <v>0.02</v>
      </c>
      <c r="AI61" s="111">
        <v>0.02</v>
      </c>
      <c r="AL61" s="50" t="s">
        <v>41</v>
      </c>
      <c r="AM61" s="112">
        <f>+AF61</f>
        <v>5.7851239669421489E-2</v>
      </c>
      <c r="AN61" s="112" t="str">
        <f>+AG61</f>
        <v>-</v>
      </c>
      <c r="AO61" s="113">
        <v>0.02</v>
      </c>
      <c r="AP61" s="113">
        <v>0.02</v>
      </c>
      <c r="AQ61" s="113">
        <f>1/AP61</f>
        <v>50</v>
      </c>
      <c r="AS61" s="50" t="s">
        <v>41</v>
      </c>
      <c r="AT61" s="74">
        <f t="shared" ref="AT61:AW66" si="2">+AM61*$AQ61</f>
        <v>2.8925619834710745</v>
      </c>
      <c r="AU61" s="74" t="e">
        <f t="shared" si="2"/>
        <v>#VALUE!</v>
      </c>
      <c r="AV61" s="74">
        <f t="shared" si="2"/>
        <v>1</v>
      </c>
      <c r="AW61" s="112">
        <f t="shared" si="2"/>
        <v>1</v>
      </c>
    </row>
    <row r="62" spans="1:49" ht="22.5" customHeight="1" x14ac:dyDescent="0.25">
      <c r="A62" s="202" t="s">
        <v>159</v>
      </c>
      <c r="B62" s="67">
        <f t="shared" si="1"/>
        <v>0.15555555555555556</v>
      </c>
      <c r="C62" s="68" t="str">
        <f t="shared" si="1"/>
        <v>-</v>
      </c>
      <c r="D62" s="69" t="s">
        <v>8</v>
      </c>
      <c r="E62" s="70" t="s">
        <v>7</v>
      </c>
      <c r="F62" s="75" t="s">
        <v>8</v>
      </c>
      <c r="G62" s="64" t="s">
        <v>8</v>
      </c>
      <c r="H62" s="76" t="str">
        <f>+H17</f>
        <v>FAIL</v>
      </c>
      <c r="I62" s="77" t="str">
        <f>+I17</f>
        <v>-</v>
      </c>
      <c r="J62" s="78"/>
      <c r="AE62" s="50" t="s">
        <v>42</v>
      </c>
      <c r="AF62" s="67">
        <f>+B64</f>
        <v>0.19082125603864733</v>
      </c>
      <c r="AG62" s="110" t="str">
        <f>+C64</f>
        <v>-</v>
      </c>
      <c r="AH62" s="111">
        <v>0.05</v>
      </c>
      <c r="AI62" s="111">
        <v>0.08</v>
      </c>
      <c r="AL62" s="50" t="s">
        <v>42</v>
      </c>
      <c r="AM62" s="112">
        <f t="shared" ref="AM62:AN66" si="3">+AF62</f>
        <v>0.19082125603864733</v>
      </c>
      <c r="AN62" s="112" t="str">
        <f t="shared" si="3"/>
        <v>-</v>
      </c>
      <c r="AO62" s="113">
        <v>0.05</v>
      </c>
      <c r="AP62" s="113">
        <v>0.08</v>
      </c>
      <c r="AQ62" s="113">
        <f t="shared" ref="AQ62:AQ66" si="4">1/AP62</f>
        <v>12.5</v>
      </c>
      <c r="AS62" s="50" t="s">
        <v>42</v>
      </c>
      <c r="AT62" s="74">
        <f t="shared" si="2"/>
        <v>2.3852657004830915</v>
      </c>
      <c r="AU62" s="74" t="e">
        <f t="shared" si="2"/>
        <v>#VALUE!</v>
      </c>
      <c r="AV62" s="74">
        <f t="shared" si="2"/>
        <v>0.625</v>
      </c>
      <c r="AW62" s="112">
        <f t="shared" si="2"/>
        <v>1</v>
      </c>
    </row>
    <row r="63" spans="1:49" ht="22.5" customHeight="1" x14ac:dyDescent="0.25">
      <c r="A63" s="202" t="s">
        <v>43</v>
      </c>
      <c r="B63" s="79">
        <f t="shared" si="1"/>
        <v>1400000</v>
      </c>
      <c r="C63" s="80">
        <f t="shared" si="1"/>
        <v>0</v>
      </c>
      <c r="D63" s="81">
        <v>50000</v>
      </c>
      <c r="E63" s="70" t="s">
        <v>8</v>
      </c>
      <c r="F63" s="64" t="str">
        <f>+F18</f>
        <v>PASS</v>
      </c>
      <c r="G63" s="75" t="str">
        <f>+G18</f>
        <v>-</v>
      </c>
      <c r="H63" s="76" t="s">
        <v>8</v>
      </c>
      <c r="I63" s="77" t="s">
        <v>8</v>
      </c>
      <c r="J63" s="78"/>
      <c r="AE63" s="50" t="s">
        <v>44</v>
      </c>
      <c r="AF63" s="67">
        <f>+B65</f>
        <v>1.025974025974026</v>
      </c>
      <c r="AG63" s="110" t="str">
        <f>+C65</f>
        <v>-</v>
      </c>
      <c r="AH63" s="111">
        <v>0.75</v>
      </c>
      <c r="AI63" s="111">
        <v>1</v>
      </c>
      <c r="AL63" s="50" t="s">
        <v>44</v>
      </c>
      <c r="AM63" s="112">
        <f t="shared" si="3"/>
        <v>1.025974025974026</v>
      </c>
      <c r="AN63" s="112" t="str">
        <f t="shared" si="3"/>
        <v>-</v>
      </c>
      <c r="AO63" s="113">
        <v>0.75</v>
      </c>
      <c r="AP63" s="113">
        <v>1</v>
      </c>
      <c r="AQ63" s="113">
        <f t="shared" si="4"/>
        <v>1</v>
      </c>
      <c r="AS63" s="50" t="s">
        <v>44</v>
      </c>
      <c r="AT63" s="74">
        <f t="shared" si="2"/>
        <v>1.025974025974026</v>
      </c>
      <c r="AU63" s="74" t="e">
        <f t="shared" si="2"/>
        <v>#VALUE!</v>
      </c>
      <c r="AV63" s="74">
        <f t="shared" si="2"/>
        <v>0.75</v>
      </c>
      <c r="AW63" s="112">
        <f t="shared" si="2"/>
        <v>1</v>
      </c>
    </row>
    <row r="64" spans="1:49" ht="22.5" customHeight="1" x14ac:dyDescent="0.25">
      <c r="A64" s="202" t="str">
        <f>+A20</f>
        <v>2 Liquid assets</v>
      </c>
      <c r="B64" s="67">
        <f>+B25</f>
        <v>0.19082125603864733</v>
      </c>
      <c r="C64" s="68" t="str">
        <f>+C25</f>
        <v>-</v>
      </c>
      <c r="D64" s="69">
        <v>0.05</v>
      </c>
      <c r="E64" s="82" t="s">
        <v>45</v>
      </c>
      <c r="F64" s="75" t="str">
        <f>+F25</f>
        <v>PASS</v>
      </c>
      <c r="G64" s="75" t="str">
        <f>+G25</f>
        <v>-</v>
      </c>
      <c r="H64" s="76" t="str">
        <f>+H25</f>
        <v>PASS</v>
      </c>
      <c r="I64" s="77" t="str">
        <f>+I25</f>
        <v>-</v>
      </c>
      <c r="J64" s="78"/>
      <c r="AE64" s="50" t="s">
        <v>15</v>
      </c>
      <c r="AF64" s="67">
        <f>+B67</f>
        <v>0.10330578512396695</v>
      </c>
      <c r="AG64" s="110" t="str">
        <f>+C67</f>
        <v>-</v>
      </c>
      <c r="AH64" s="111">
        <v>-0.08</v>
      </c>
      <c r="AI64" s="111">
        <v>0.03</v>
      </c>
      <c r="AL64" s="50" t="s">
        <v>15</v>
      </c>
      <c r="AM64" s="112">
        <f t="shared" si="3"/>
        <v>0.10330578512396695</v>
      </c>
      <c r="AN64" s="112" t="str">
        <f t="shared" si="3"/>
        <v>-</v>
      </c>
      <c r="AO64" s="114">
        <v>-0.08</v>
      </c>
      <c r="AP64" s="113">
        <v>0.03</v>
      </c>
      <c r="AQ64" s="113">
        <f t="shared" si="4"/>
        <v>33.333333333333336</v>
      </c>
      <c r="AS64" s="50" t="s">
        <v>15</v>
      </c>
      <c r="AT64" s="74">
        <f t="shared" si="2"/>
        <v>3.4435261707988984</v>
      </c>
      <c r="AU64" s="74" t="e">
        <f t="shared" si="2"/>
        <v>#VALUE!</v>
      </c>
      <c r="AV64" s="74">
        <f t="shared" si="2"/>
        <v>-2.666666666666667</v>
      </c>
      <c r="AW64" s="112">
        <f t="shared" si="2"/>
        <v>1</v>
      </c>
    </row>
    <row r="65" spans="1:49" ht="22.5" customHeight="1" x14ac:dyDescent="0.25">
      <c r="A65" s="202" t="str">
        <f>+A27</f>
        <v>3 Working capital</v>
      </c>
      <c r="B65" s="67">
        <f>+B32</f>
        <v>1.025974025974026</v>
      </c>
      <c r="C65" s="68" t="str">
        <f>+C32</f>
        <v>-</v>
      </c>
      <c r="D65" s="69">
        <v>0.75</v>
      </c>
      <c r="E65" s="82" t="s">
        <v>12</v>
      </c>
      <c r="F65" s="75" t="str">
        <f>+F32</f>
        <v>PASS</v>
      </c>
      <c r="G65" s="75" t="str">
        <f>+G32</f>
        <v>-</v>
      </c>
      <c r="H65" s="76" t="str">
        <f>+H32</f>
        <v>PASS</v>
      </c>
      <c r="I65" s="77" t="str">
        <f>+I32</f>
        <v>-</v>
      </c>
      <c r="J65" s="78"/>
      <c r="AE65" s="50" t="s">
        <v>19</v>
      </c>
      <c r="AF65" s="67">
        <f>+B69</f>
        <v>1.1690821256038648</v>
      </c>
      <c r="AG65" s="110" t="str">
        <f>+C69</f>
        <v>-</v>
      </c>
      <c r="AH65" s="111">
        <v>1</v>
      </c>
      <c r="AI65" s="111">
        <v>1.1100000000000001</v>
      </c>
      <c r="AL65" s="50" t="s">
        <v>19</v>
      </c>
      <c r="AM65" s="112">
        <f t="shared" si="3"/>
        <v>1.1690821256038648</v>
      </c>
      <c r="AN65" s="112" t="str">
        <f t="shared" si="3"/>
        <v>-</v>
      </c>
      <c r="AO65" s="113">
        <v>1</v>
      </c>
      <c r="AP65" s="113">
        <v>1.1100000000000001</v>
      </c>
      <c r="AQ65" s="113">
        <f t="shared" si="4"/>
        <v>0.9009009009009008</v>
      </c>
      <c r="AS65" s="50" t="s">
        <v>19</v>
      </c>
      <c r="AT65" s="74">
        <f t="shared" si="2"/>
        <v>1.0532271401836619</v>
      </c>
      <c r="AU65" s="74" t="e">
        <f t="shared" si="2"/>
        <v>#VALUE!</v>
      </c>
      <c r="AV65" s="74">
        <f t="shared" si="2"/>
        <v>0.9009009009009008</v>
      </c>
      <c r="AW65" s="112">
        <f t="shared" si="2"/>
        <v>1</v>
      </c>
    </row>
    <row r="66" spans="1:49" ht="30" x14ac:dyDescent="0.25">
      <c r="A66" s="202" t="s">
        <v>164</v>
      </c>
      <c r="B66" s="103" t="str">
        <f>+B33</f>
        <v>No working capital deficit</v>
      </c>
      <c r="C66" s="70" t="str">
        <f>+C33</f>
        <v>NO</v>
      </c>
      <c r="D66" s="84" t="s">
        <v>46</v>
      </c>
      <c r="E66" s="82" t="s">
        <v>8</v>
      </c>
      <c r="F66" s="75" t="str">
        <f>+F33</f>
        <v>PASS</v>
      </c>
      <c r="G66" s="75" t="str">
        <f>+G33</f>
        <v>-</v>
      </c>
      <c r="H66" s="76" t="s">
        <v>8</v>
      </c>
      <c r="I66" s="77" t="s">
        <v>8</v>
      </c>
      <c r="J66" s="78"/>
      <c r="AE66" s="85" t="s">
        <v>47</v>
      </c>
      <c r="AF66" s="67">
        <f>1-B70</f>
        <v>0.85365853658536583</v>
      </c>
      <c r="AG66" s="110" t="e">
        <f>1-C70</f>
        <v>#VALUE!</v>
      </c>
      <c r="AH66" s="111">
        <v>0.5</v>
      </c>
      <c r="AI66" s="111">
        <v>0.76</v>
      </c>
      <c r="AL66" s="85" t="s">
        <v>47</v>
      </c>
      <c r="AM66" s="112">
        <f t="shared" si="3"/>
        <v>0.85365853658536583</v>
      </c>
      <c r="AN66" s="112" t="e">
        <f t="shared" si="3"/>
        <v>#VALUE!</v>
      </c>
      <c r="AO66" s="113">
        <v>0.5</v>
      </c>
      <c r="AP66" s="113">
        <v>0.76</v>
      </c>
      <c r="AQ66" s="113">
        <f t="shared" si="4"/>
        <v>1.3157894736842106</v>
      </c>
      <c r="AS66" s="85" t="s">
        <v>47</v>
      </c>
      <c r="AT66" s="74">
        <f t="shared" si="2"/>
        <v>1.123234916559692</v>
      </c>
      <c r="AU66" s="74" t="e">
        <f t="shared" si="2"/>
        <v>#VALUE!</v>
      </c>
      <c r="AV66" s="74">
        <f t="shared" si="2"/>
        <v>0.65789473684210531</v>
      </c>
      <c r="AW66" s="112">
        <f t="shared" si="2"/>
        <v>1</v>
      </c>
    </row>
    <row r="67" spans="1:49" ht="22.5" customHeight="1" x14ac:dyDescent="0.25">
      <c r="A67" s="202" t="str">
        <f>+A35</f>
        <v>4 Profitability</v>
      </c>
      <c r="B67" s="67">
        <f>+B39</f>
        <v>0.10330578512396695</v>
      </c>
      <c r="C67" s="68" t="str">
        <f>+C39</f>
        <v>-</v>
      </c>
      <c r="D67" s="86" t="s">
        <v>48</v>
      </c>
      <c r="E67" s="70" t="s">
        <v>17</v>
      </c>
      <c r="F67" s="75" t="str">
        <f>+F39</f>
        <v>PASS</v>
      </c>
      <c r="G67" s="75" t="str">
        <f>+G39</f>
        <v>-</v>
      </c>
      <c r="H67" s="76" t="str">
        <f>+H39</f>
        <v>PASS</v>
      </c>
      <c r="I67" s="77" t="str">
        <f>+I39</f>
        <v>-</v>
      </c>
      <c r="J67" s="78"/>
    </row>
    <row r="68" spans="1:49" ht="21.75" customHeight="1" x14ac:dyDescent="0.25">
      <c r="A68" s="202" t="s">
        <v>160</v>
      </c>
      <c r="B68" s="67">
        <f>+B40</f>
        <v>1.25</v>
      </c>
      <c r="C68" s="68" t="str">
        <f>+C40</f>
        <v>-</v>
      </c>
      <c r="D68" s="86" t="s">
        <v>49</v>
      </c>
      <c r="E68" s="70" t="s">
        <v>8</v>
      </c>
      <c r="F68" s="75" t="str">
        <f>+F40</f>
        <v>PASS</v>
      </c>
      <c r="G68" s="75" t="str">
        <f>+G40</f>
        <v>-</v>
      </c>
      <c r="H68" s="76" t="s">
        <v>8</v>
      </c>
      <c r="I68" s="77" t="s">
        <v>8</v>
      </c>
      <c r="J68" s="78"/>
    </row>
    <row r="69" spans="1:49" ht="22.5" customHeight="1" x14ac:dyDescent="0.25">
      <c r="A69" s="202" t="str">
        <f>+A42</f>
        <v>5 Net cashflows</v>
      </c>
      <c r="B69" s="67">
        <f>+B46</f>
        <v>1.1690821256038648</v>
      </c>
      <c r="C69" s="68" t="str">
        <f>+C46</f>
        <v>-</v>
      </c>
      <c r="D69" s="69">
        <v>1</v>
      </c>
      <c r="E69" s="70" t="s">
        <v>22</v>
      </c>
      <c r="F69" s="75" t="str">
        <f>+F46</f>
        <v>PASS</v>
      </c>
      <c r="G69" s="75" t="str">
        <f>+G46</f>
        <v>-</v>
      </c>
      <c r="H69" s="76" t="str">
        <f>+H46</f>
        <v>PASS</v>
      </c>
      <c r="I69" s="77" t="str">
        <f>+I46</f>
        <v>-</v>
      </c>
      <c r="J69" s="78"/>
    </row>
    <row r="70" spans="1:49" ht="22.5" customHeight="1" x14ac:dyDescent="0.25">
      <c r="A70" s="202" t="str">
        <f>+A48</f>
        <v>6 Debt levels</v>
      </c>
      <c r="B70" s="67">
        <f>+B51</f>
        <v>0.14634146341463414</v>
      </c>
      <c r="C70" s="68" t="str">
        <f>+C51</f>
        <v>-</v>
      </c>
      <c r="D70" s="86" t="s">
        <v>24</v>
      </c>
      <c r="E70" s="70" t="s">
        <v>25</v>
      </c>
      <c r="F70" s="75" t="str">
        <f>+F51</f>
        <v>PASS</v>
      </c>
      <c r="G70" s="75" t="str">
        <f>+G51</f>
        <v>-</v>
      </c>
      <c r="H70" s="76" t="str">
        <f>+H51</f>
        <v>PASS</v>
      </c>
      <c r="I70" s="77" t="str">
        <f>+I51</f>
        <v>-</v>
      </c>
      <c r="J70" s="78"/>
    </row>
    <row r="71" spans="1:49" ht="42.75" customHeight="1" x14ac:dyDescent="0.25">
      <c r="A71" s="203" t="s">
        <v>158</v>
      </c>
      <c r="B71" s="87"/>
      <c r="C71" s="88"/>
      <c r="D71" s="89"/>
      <c r="E71" s="90"/>
      <c r="F71" s="91" t="str">
        <f>+F53</f>
        <v>PASS</v>
      </c>
      <c r="G71" s="91" t="str">
        <f>+G53</f>
        <v>spreadsheet not fully populated</v>
      </c>
      <c r="H71" s="92"/>
      <c r="I71" s="93"/>
      <c r="J71" s="78"/>
      <c r="S71" s="94"/>
    </row>
    <row r="73" spans="1:49" x14ac:dyDescent="0.25">
      <c r="A73" t="s">
        <v>64</v>
      </c>
      <c r="B73" s="56" t="str">
        <f>+B55</f>
        <v>Yes</v>
      </c>
      <c r="C73" s="56" t="str">
        <f>+C55</f>
        <v>No</v>
      </c>
      <c r="D73" s="58" t="s">
        <v>50</v>
      </c>
      <c r="E73" s="58"/>
      <c r="F73" s="58"/>
      <c r="G73" s="58"/>
      <c r="H73" s="58"/>
    </row>
    <row r="74" spans="1:49" x14ac:dyDescent="0.25">
      <c r="K74" s="75"/>
    </row>
    <row r="76" spans="1:49" x14ac:dyDescent="0.25">
      <c r="A76" s="1" t="s">
        <v>68</v>
      </c>
    </row>
    <row r="78" spans="1:49" x14ac:dyDescent="0.25">
      <c r="F78" t="s">
        <v>61</v>
      </c>
    </row>
    <row r="79" spans="1:49" x14ac:dyDescent="0.25">
      <c r="F79" t="s">
        <v>71</v>
      </c>
    </row>
    <row r="80" spans="1:49" x14ac:dyDescent="0.25">
      <c r="F80" t="s">
        <v>62</v>
      </c>
    </row>
    <row r="81" spans="6:6" x14ac:dyDescent="0.25">
      <c r="F81" t="s">
        <v>63</v>
      </c>
    </row>
  </sheetData>
  <sheetProtection password="C899" sheet="1" objects="1" scenarios="1"/>
  <mergeCells count="4">
    <mergeCell ref="B8:C8"/>
    <mergeCell ref="D8:E8"/>
    <mergeCell ref="F8:G8"/>
    <mergeCell ref="H8:I8"/>
  </mergeCells>
  <pageMargins left="0.23622047244094491" right="0.23622047244094491" top="0.74803149606299213" bottom="0.74803149606299213" header="0.31496062992125984" footer="0.31496062992125984"/>
  <pageSetup paperSize="8" scale="75" fitToHeight="3" orientation="landscape" r:id="rId1"/>
  <rowBreaks count="2" manualBreakCount="2">
    <brk id="34" max="10" man="1"/>
    <brk id="56"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Instructions</vt:lpstr>
      <vt:lpstr>Calculations</vt:lpstr>
      <vt:lpstr>Worked example</vt:lpstr>
      <vt:lpstr>Calculations!Print_Area</vt:lpstr>
      <vt:lpstr>Instructions!Print_Area</vt:lpstr>
      <vt:lpstr>'Worked example'!Print_Area</vt:lpstr>
    </vt:vector>
  </TitlesOfParts>
  <Company>Tertiary Education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Calculating the TEC Prudential Financial Standards for PTEs</dc:title>
  <dc:subject>PTEs</dc:subject>
  <dc:creator>TEC</dc:creator>
  <cp:lastModifiedBy>Jacob Reid</cp:lastModifiedBy>
  <cp:lastPrinted>2016-02-22T20:53:56Z</cp:lastPrinted>
  <dcterms:created xsi:type="dcterms:W3CDTF">2015-06-29T22:44:19Z</dcterms:created>
  <dcterms:modified xsi:type="dcterms:W3CDTF">2016-10-06T22:51:59Z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A928519</vt:lpwstr>
  </property>
  <property fmtid="{D5CDD505-2E9C-101B-9397-08002B2CF9AE}" pid="4" name="Objective-Title">
    <vt:lpwstr>Web page update Attachment Four - Calculating the TEC Prudential Financial Standards</vt:lpwstr>
  </property>
  <property fmtid="{D5CDD505-2E9C-101B-9397-08002B2CF9AE}" pid="5" name="Objective-Comment">
    <vt:lpwstr/>
  </property>
  <property fmtid="{D5CDD505-2E9C-101B-9397-08002B2CF9AE}" pid="6" name="Objective-CreationStamp">
    <vt:filetime>2015-07-13T04:35:04Z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2016-02-29T01:00:28Z</vt:filetime>
  </property>
  <property fmtid="{D5CDD505-2E9C-101B-9397-08002B2CF9AE}" pid="11" name="Objective-Owner">
    <vt:lpwstr>Kevin Fisher</vt:lpwstr>
  </property>
  <property fmtid="{D5CDD505-2E9C-101B-9397-08002B2CF9AE}" pid="12" name="Objective-Path">
    <vt:lpwstr>Objective Global Folder:TEC Global Folder:Tertiary Education Organisations:Sector:TO-B- FINANCIAL MONITORING -NO-T:2015 PTE Financial Monitoring - Sector:</vt:lpwstr>
  </property>
  <property fmtid="{D5CDD505-2E9C-101B-9397-08002B2CF9AE}" pid="13" name="Objective-Parent">
    <vt:lpwstr>2015 PTE Financial Monitoring - Sector</vt:lpwstr>
  </property>
  <property fmtid="{D5CDD505-2E9C-101B-9397-08002B2CF9AE}" pid="14" name="Objective-State">
    <vt:lpwstr>Being Edited</vt:lpwstr>
  </property>
  <property fmtid="{D5CDD505-2E9C-101B-9397-08002B2CF9AE}" pid="15" name="Objective-Version">
    <vt:lpwstr>19.1</vt:lpwstr>
  </property>
  <property fmtid="{D5CDD505-2E9C-101B-9397-08002B2CF9AE}" pid="16" name="Objective-VersionNumber">
    <vt:r8>22</vt:r8>
  </property>
  <property fmtid="{D5CDD505-2E9C-101B-9397-08002B2CF9AE}" pid="17" name="Objective-VersionComment">
    <vt:lpwstr/>
  </property>
  <property fmtid="{D5CDD505-2E9C-101B-9397-08002B2CF9AE}" pid="18" name="Objective-FileNumber">
    <vt:lpwstr>TO-B-16/06-6266</vt:lpwstr>
  </property>
  <property fmtid="{D5CDD505-2E9C-101B-9397-08002B2CF9AE}" pid="19" name="Objective-Classification">
    <vt:lpwstr>[Inherited - none]</vt:lpwstr>
  </property>
  <property fmtid="{D5CDD505-2E9C-101B-9397-08002B2CF9AE}" pid="20" name="Objective-Caveats">
    <vt:lpwstr/>
  </property>
  <property fmtid="{D5CDD505-2E9C-101B-9397-08002B2CF9AE}" pid="21" name="Objective-Reference [system]">
    <vt:lpwstr/>
  </property>
  <property fmtid="{D5CDD505-2E9C-101B-9397-08002B2CF9AE}" pid="22" name="Objective-Date [system]">
    <vt:lpwstr/>
  </property>
  <property fmtid="{D5CDD505-2E9C-101B-9397-08002B2CF9AE}" pid="23" name="Objective-Action [system]">
    <vt:lpwstr/>
  </property>
  <property fmtid="{D5CDD505-2E9C-101B-9397-08002B2CF9AE}" pid="24" name="Objective-Responsible [system]">
    <vt:lpwstr/>
  </property>
  <property fmtid="{D5CDD505-2E9C-101B-9397-08002B2CF9AE}" pid="25" name="Objective-Financial Year [system]">
    <vt:lpwstr/>
  </property>
  <property fmtid="{D5CDD505-2E9C-101B-9397-08002B2CF9AE}" pid="26" name="Objective-Calendar Year [system]">
    <vt:lpwstr/>
  </property>
  <property fmtid="{D5CDD505-2E9C-101B-9397-08002B2CF9AE}" pid="27" name="Objective-EDUMIS Number [system]">
    <vt:lpwstr/>
  </property>
  <property fmtid="{D5CDD505-2E9C-101B-9397-08002B2CF9AE}" pid="28" name="Objective-Sub Sector [system]">
    <vt:lpwstr/>
  </property>
  <property fmtid="{D5CDD505-2E9C-101B-9397-08002B2CF9AE}" pid="29" name="Objective-Fund Name [system]">
    <vt:lpwstr/>
  </property>
</Properties>
</file>