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HorizontalScroll="0" xWindow="90" yWindow="-75" windowWidth="14745" windowHeight="6210" tabRatio="759" activeTab="1"/>
  </bookViews>
  <sheets>
    <sheet name="Cover" sheetId="10" r:id="rId1"/>
    <sheet name="Instructions on Usage" sheetId="9" r:id="rId2"/>
    <sheet name="Measure scoring" sheetId="3" r:id="rId3"/>
    <sheet name="Financials" sheetId="1" r:id="rId4"/>
    <sheet name="Calculations" sheetId="2" r:id="rId5"/>
    <sheet name="Var" sheetId="8" state="hidden" r:id="rId6"/>
    <sheet name="Report" sheetId="4" r:id="rId7"/>
  </sheets>
  <definedNames>
    <definedName name="Calculations_EFTS_Entry">Calculations!$G$37</definedName>
    <definedName name="Confidence">Report!$K$18</definedName>
    <definedName name="Financial_Statements_of_TEI">Financials!$A$6</definedName>
    <definedName name="Flow_of_Information_in_Spreadsheet">'Instructions on Usage'!$A$47</definedName>
    <definedName name="FMF_Instructions_and_Notes">'Instructions on Usage'!$A$1</definedName>
    <definedName name="FMF_Report_Template">Report!$E$4</definedName>
    <definedName name="FutureView">Report!$J$58</definedName>
    <definedName name="HistoricalView">Report!$J$57</definedName>
    <definedName name="How_the_spreadsheet_works">'Instructions on Usage'!$A$47</definedName>
    <definedName name="Lookup_Table_FMF_Scores" comment="Title of Metric Scoring Tab">'Measure scoring'!$A$1</definedName>
    <definedName name="Non_Financial_Information">Financials!$A$273</definedName>
    <definedName name="_xlnm.Print_Area" localSheetId="4">Calculations!$A$1:$K$158</definedName>
    <definedName name="_xlnm.Print_Area" localSheetId="3">Financials!$A$6:$M$322</definedName>
    <definedName name="_xlnm.Print_Area" localSheetId="1">'Instructions on Usage'!$A$1:$B$72</definedName>
    <definedName name="_xlnm.Print_Area" localSheetId="2">'Measure scoring'!$A$1:$R$141</definedName>
    <definedName name="_xlnm.Print_Area" localSheetId="6">Report!$B$2:$N$67</definedName>
    <definedName name="Quick_steps_to_using_spreadsheet">'Instructions on Usage'!$A$5</definedName>
    <definedName name="Statement_of_Cash_Flows">Financials!$A$183</definedName>
    <definedName name="Statement_of_Financial_Performance">Financials!$A$6</definedName>
    <definedName name="Statement_of_Financial_Position">Financials!$A$87</definedName>
    <definedName name="Sustainability_Metrics" comment="For Coverpage">'Measure scoring'!$A$61</definedName>
    <definedName name="Updating_FMF_report">'Instructions on Usage'!$A$34</definedName>
    <definedName name="Updating_FMF_Report_Tab">'Instructions on Usage'!#REF!</definedName>
    <definedName name="Updating_the_Calculations_tab">'Instructions on Usage'!$A$23</definedName>
    <definedName name="Updating_the_Financials_tab">'Instructions on Usage'!$A$11</definedName>
    <definedName name="Version_Information">'Instructions on Usage'!$A$58</definedName>
    <definedName name="Viability_Metrics" comment="For Coverpage">'Measure scoring'!$A$2</definedName>
  </definedNames>
  <calcPr calcId="145621"/>
</workbook>
</file>

<file path=xl/calcChain.xml><?xml version="1.0" encoding="utf-8"?>
<calcChain xmlns="http://schemas.openxmlformats.org/spreadsheetml/2006/main">
  <c r="B31" i="9" l="1"/>
  <c r="A31" i="9"/>
  <c r="B30" i="9"/>
  <c r="A30" i="9"/>
  <c r="K24" i="2"/>
  <c r="K59" i="2" s="1"/>
  <c r="J24" i="2"/>
  <c r="J59" i="2"/>
  <c r="I24" i="2"/>
  <c r="I59" i="2"/>
  <c r="H24" i="2"/>
  <c r="H59" i="2"/>
  <c r="G24" i="2"/>
  <c r="G59" i="2"/>
  <c r="F24" i="2"/>
  <c r="F59" i="2"/>
  <c r="E24" i="2"/>
  <c r="E59" i="2"/>
  <c r="D24" i="2"/>
  <c r="D59" i="2"/>
  <c r="C24" i="2"/>
  <c r="C59" i="2"/>
  <c r="K180" i="2"/>
  <c r="J180" i="2"/>
  <c r="I180" i="2"/>
  <c r="H180" i="2"/>
  <c r="I28" i="2"/>
  <c r="H28" i="2"/>
  <c r="I22" i="2"/>
  <c r="I21" i="2"/>
  <c r="H21" i="2"/>
  <c r="B16" i="9"/>
  <c r="B29" i="9"/>
  <c r="B28" i="9"/>
  <c r="B27" i="9"/>
  <c r="B35" i="9"/>
  <c r="B45" i="9"/>
  <c r="B44" i="9"/>
  <c r="B42" i="9"/>
  <c r="B43" i="9"/>
  <c r="B40" i="9"/>
  <c r="B36" i="9"/>
  <c r="A27" i="9"/>
  <c r="A20" i="9"/>
  <c r="G57" i="4"/>
  <c r="B139" i="2"/>
  <c r="B138" i="2"/>
  <c r="B137" i="2"/>
  <c r="B136" i="2"/>
  <c r="B135" i="2"/>
  <c r="B134" i="2"/>
  <c r="B167" i="2"/>
  <c r="B166" i="2"/>
  <c r="B165" i="2"/>
  <c r="B164" i="2"/>
  <c r="B163" i="2"/>
  <c r="B162" i="2"/>
  <c r="F91" i="3"/>
  <c r="F92" i="3"/>
  <c r="G91" i="3"/>
  <c r="B124" i="2"/>
  <c r="B123" i="2"/>
  <c r="B122" i="2"/>
  <c r="B121" i="2"/>
  <c r="B120" i="2"/>
  <c r="B119" i="2"/>
  <c r="B118" i="2"/>
  <c r="B100" i="2"/>
  <c r="B99" i="2"/>
  <c r="B98" i="2"/>
  <c r="B97" i="2"/>
  <c r="B95" i="2"/>
  <c r="B94" i="2"/>
  <c r="B93" i="2"/>
  <c r="B92" i="2"/>
  <c r="K40" i="2"/>
  <c r="J40" i="2"/>
  <c r="I40" i="2"/>
  <c r="H40" i="2"/>
  <c r="G40" i="2"/>
  <c r="F40" i="2"/>
  <c r="E40" i="2"/>
  <c r="D40" i="2"/>
  <c r="C40" i="2"/>
  <c r="K39" i="2"/>
  <c r="J39" i="2"/>
  <c r="I39" i="2"/>
  <c r="H39" i="2"/>
  <c r="G39" i="2"/>
  <c r="F39" i="2"/>
  <c r="E39" i="2"/>
  <c r="D39" i="2"/>
  <c r="C39" i="2"/>
  <c r="K179" i="2"/>
  <c r="J179" i="2"/>
  <c r="K22" i="2"/>
  <c r="K21" i="2"/>
  <c r="J21" i="2"/>
  <c r="A60" i="9"/>
  <c r="A59" i="9"/>
  <c r="A45" i="9"/>
  <c r="A44" i="9"/>
  <c r="A43" i="9"/>
  <c r="A42" i="9"/>
  <c r="A40" i="9"/>
  <c r="A36" i="9"/>
  <c r="A35" i="9"/>
  <c r="A56" i="9"/>
  <c r="A55" i="9"/>
  <c r="A54" i="9"/>
  <c r="A53" i="9"/>
  <c r="A52" i="9"/>
  <c r="A51" i="9"/>
  <c r="A50" i="9"/>
  <c r="A49" i="9"/>
  <c r="A48" i="9"/>
  <c r="A9" i="9"/>
  <c r="A8" i="9"/>
  <c r="A7" i="9"/>
  <c r="A6" i="9"/>
  <c r="A29" i="9"/>
  <c r="A26" i="9"/>
  <c r="A25" i="9"/>
  <c r="A28" i="9"/>
  <c r="A24" i="9"/>
  <c r="A19" i="9"/>
  <c r="A18" i="9"/>
  <c r="A17" i="9"/>
  <c r="A16" i="9"/>
  <c r="A15" i="9"/>
  <c r="A14" i="9"/>
  <c r="A13" i="9"/>
  <c r="A12" i="9"/>
  <c r="A21" i="9"/>
  <c r="B111" i="3"/>
  <c r="F105" i="3"/>
  <c r="G100" i="3"/>
  <c r="F100" i="3"/>
  <c r="G101" i="3"/>
  <c r="F101" i="3"/>
  <c r="G102" i="3"/>
  <c r="F102" i="3"/>
  <c r="G103" i="3"/>
  <c r="F103" i="3"/>
  <c r="G104" i="3"/>
  <c r="F104" i="3"/>
  <c r="G105" i="3"/>
  <c r="G96" i="3"/>
  <c r="F96" i="3"/>
  <c r="G95" i="3"/>
  <c r="F95" i="3"/>
  <c r="G94" i="3"/>
  <c r="F94" i="3"/>
  <c r="G93" i="3"/>
  <c r="F93" i="3"/>
  <c r="G92" i="3"/>
  <c r="G90" i="3"/>
  <c r="G85" i="3"/>
  <c r="F85" i="3"/>
  <c r="G86" i="3"/>
  <c r="F86" i="3"/>
  <c r="G84" i="3"/>
  <c r="F84" i="3"/>
  <c r="G83" i="3"/>
  <c r="F83" i="3"/>
  <c r="G82" i="3"/>
  <c r="F82" i="3"/>
  <c r="G81" i="3"/>
  <c r="F81" i="3"/>
  <c r="G80" i="3"/>
  <c r="F80" i="3"/>
  <c r="G79" i="3"/>
  <c r="F79" i="3"/>
  <c r="G78" i="3"/>
  <c r="F78" i="3"/>
  <c r="G68" i="3"/>
  <c r="G69" i="3"/>
  <c r="F69" i="3"/>
  <c r="F68" i="3"/>
  <c r="G65" i="3"/>
  <c r="G64" i="3"/>
  <c r="F64" i="3"/>
  <c r="F65" i="3"/>
  <c r="G66" i="3"/>
  <c r="F66" i="3"/>
  <c r="G67" i="3"/>
  <c r="F67" i="3"/>
  <c r="G59" i="3"/>
  <c r="G58" i="3"/>
  <c r="G57" i="3"/>
  <c r="G56" i="3"/>
  <c r="G55" i="3"/>
  <c r="G54" i="3"/>
  <c r="F58" i="3"/>
  <c r="F57" i="3"/>
  <c r="F59" i="3"/>
  <c r="F56" i="3"/>
  <c r="F55" i="3"/>
  <c r="F54" i="3"/>
  <c r="G50" i="3"/>
  <c r="G49" i="3"/>
  <c r="G48" i="3"/>
  <c r="G47" i="3"/>
  <c r="F47" i="3"/>
  <c r="F46" i="3"/>
  <c r="F45" i="3"/>
  <c r="F44" i="3"/>
  <c r="F43" i="3"/>
  <c r="F42" i="3"/>
  <c r="G46" i="3"/>
  <c r="G45" i="3"/>
  <c r="G44" i="3"/>
  <c r="G43" i="3"/>
  <c r="G42" i="3"/>
  <c r="G37" i="3"/>
  <c r="F37" i="3"/>
  <c r="G36" i="3"/>
  <c r="F36" i="3"/>
  <c r="G35" i="3"/>
  <c r="F35" i="3"/>
  <c r="G34" i="3"/>
  <c r="F34" i="3"/>
  <c r="G33" i="3"/>
  <c r="F33" i="3"/>
  <c r="G32" i="3"/>
  <c r="F32" i="3"/>
  <c r="G28" i="3"/>
  <c r="F28" i="3"/>
  <c r="G27" i="3"/>
  <c r="F27" i="3"/>
  <c r="G26" i="3"/>
  <c r="F26" i="3"/>
  <c r="G25" i="3"/>
  <c r="F25" i="3"/>
  <c r="G24" i="3"/>
  <c r="F24" i="3"/>
  <c r="G23" i="3"/>
  <c r="F23" i="3"/>
  <c r="F14" i="3"/>
  <c r="F5" i="3"/>
  <c r="F19" i="3"/>
  <c r="F10" i="3"/>
  <c r="G19" i="3"/>
  <c r="G18" i="3"/>
  <c r="F18" i="3"/>
  <c r="G17" i="3"/>
  <c r="F17" i="3"/>
  <c r="G16" i="3"/>
  <c r="F16" i="3"/>
  <c r="G15" i="3"/>
  <c r="F15" i="3"/>
  <c r="G14" i="3"/>
  <c r="G10" i="3"/>
  <c r="G9" i="3"/>
  <c r="G8" i="3"/>
  <c r="G7" i="3"/>
  <c r="G6" i="3"/>
  <c r="G5" i="3"/>
  <c r="F9" i="3"/>
  <c r="F8" i="3"/>
  <c r="F7" i="3"/>
  <c r="F6" i="3"/>
  <c r="I14" i="4"/>
  <c r="I15" i="4" s="1"/>
  <c r="I24" i="4" s="1"/>
  <c r="I33" i="4" s="1"/>
  <c r="F13" i="4"/>
  <c r="G13" i="4"/>
  <c r="A1" i="2"/>
  <c r="C31" i="2"/>
  <c r="C32" i="2" s="1"/>
  <c r="D31" i="2"/>
  <c r="D32" i="2" s="1"/>
  <c r="D47" i="2" s="1"/>
  <c r="E31" i="2"/>
  <c r="E32" i="2"/>
  <c r="F31" i="2"/>
  <c r="F32" i="2" s="1"/>
  <c r="F1" i="2" s="1"/>
  <c r="G31" i="2"/>
  <c r="G32" i="2" s="1"/>
  <c r="G47" i="2" s="1"/>
  <c r="H31" i="2"/>
  <c r="H32" i="2" s="1"/>
  <c r="H47" i="2" s="1"/>
  <c r="B152" i="2"/>
  <c r="J15" i="2"/>
  <c r="J17" i="2"/>
  <c r="J18" i="2"/>
  <c r="J19" i="2"/>
  <c r="J20" i="2"/>
  <c r="J7" i="2"/>
  <c r="J6" i="2"/>
  <c r="J5" i="2"/>
  <c r="B153" i="2"/>
  <c r="J144" i="2"/>
  <c r="J153" i="2" s="1"/>
  <c r="J163" i="2" s="1"/>
  <c r="B154" i="2"/>
  <c r="B155" i="2"/>
  <c r="B156" i="2"/>
  <c r="J11" i="2"/>
  <c r="J50" i="2" s="1"/>
  <c r="J51" i="2" s="1"/>
  <c r="J12" i="2"/>
  <c r="J86" i="2"/>
  <c r="J14" i="2"/>
  <c r="J28" i="2"/>
  <c r="B157" i="2"/>
  <c r="J27" i="2"/>
  <c r="J112" i="2" s="1"/>
  <c r="J16" i="2"/>
  <c r="J90" i="2"/>
  <c r="J13" i="2"/>
  <c r="F7" i="2"/>
  <c r="F6" i="2"/>
  <c r="F5" i="2"/>
  <c r="F27" i="2"/>
  <c r="F112" i="2" s="1"/>
  <c r="F120" i="2" s="1"/>
  <c r="F28" i="2"/>
  <c r="F11" i="2"/>
  <c r="F50" i="2" s="1"/>
  <c r="F51" i="2" s="1"/>
  <c r="F12" i="2"/>
  <c r="F86" i="2"/>
  <c r="F14" i="2"/>
  <c r="F15" i="2"/>
  <c r="F16" i="2"/>
  <c r="F17" i="2"/>
  <c r="F90" i="2" s="1"/>
  <c r="F18" i="2"/>
  <c r="F13" i="2"/>
  <c r="G7" i="2"/>
  <c r="G6" i="2"/>
  <c r="G5" i="2"/>
  <c r="G27" i="2"/>
  <c r="G28" i="2"/>
  <c r="G11" i="2"/>
  <c r="G12" i="2"/>
  <c r="G50" i="2" s="1"/>
  <c r="G51" i="2" s="1"/>
  <c r="G14" i="2"/>
  <c r="G15" i="2"/>
  <c r="G16" i="2"/>
  <c r="G17" i="2"/>
  <c r="G18" i="2"/>
  <c r="G13" i="2"/>
  <c r="H7" i="2"/>
  <c r="H6" i="2"/>
  <c r="H5" i="2"/>
  <c r="H27" i="2"/>
  <c r="H112" i="2" s="1"/>
  <c r="H11" i="2"/>
  <c r="H50" i="2" s="1"/>
  <c r="H51" i="2" s="1"/>
  <c r="H58" i="2" s="1"/>
  <c r="H12" i="2"/>
  <c r="H14" i="2"/>
  <c r="H15" i="2"/>
  <c r="H16" i="2"/>
  <c r="H90" i="2" s="1"/>
  <c r="H17" i="2"/>
  <c r="H89" i="2" s="1"/>
  <c r="H18" i="2"/>
  <c r="H13" i="2"/>
  <c r="I7" i="2"/>
  <c r="I6" i="2"/>
  <c r="I5" i="2"/>
  <c r="I27" i="2"/>
  <c r="I112" i="2"/>
  <c r="I11" i="2"/>
  <c r="I12" i="2"/>
  <c r="I50" i="2" s="1"/>
  <c r="I51" i="2" s="1"/>
  <c r="I14" i="2"/>
  <c r="I15" i="2"/>
  <c r="I89" i="2" s="1"/>
  <c r="I143" i="2" s="1"/>
  <c r="I16" i="2"/>
  <c r="I17" i="2"/>
  <c r="I18" i="2"/>
  <c r="I13" i="2"/>
  <c r="B112" i="3"/>
  <c r="B113" i="3"/>
  <c r="B114" i="3"/>
  <c r="B115" i="3"/>
  <c r="B116" i="3"/>
  <c r="B117" i="3"/>
  <c r="B118" i="3"/>
  <c r="B119" i="3"/>
  <c r="B120" i="3"/>
  <c r="B121" i="3"/>
  <c r="B122" i="3"/>
  <c r="B123" i="3"/>
  <c r="B124" i="3"/>
  <c r="B125" i="3"/>
  <c r="G19" i="2"/>
  <c r="G20" i="2"/>
  <c r="G22" i="2"/>
  <c r="G144" i="2"/>
  <c r="G153" i="2"/>
  <c r="G21" i="2"/>
  <c r="C7" i="2"/>
  <c r="C6" i="2"/>
  <c r="C5" i="2"/>
  <c r="C27" i="2"/>
  <c r="C28" i="2"/>
  <c r="C11" i="2"/>
  <c r="C12" i="2"/>
  <c r="C50" i="2" s="1"/>
  <c r="C51" i="2" s="1"/>
  <c r="C14" i="2"/>
  <c r="C15" i="2"/>
  <c r="C16" i="2"/>
  <c r="C17" i="2"/>
  <c r="C89" i="2" s="1"/>
  <c r="C18" i="2"/>
  <c r="C13" i="2"/>
  <c r="D7" i="2"/>
  <c r="D6" i="2"/>
  <c r="D5" i="2"/>
  <c r="D27" i="2"/>
  <c r="D28" i="2"/>
  <c r="D11" i="2"/>
  <c r="D12" i="2"/>
  <c r="D86" i="2" s="1"/>
  <c r="D14" i="2"/>
  <c r="D15" i="2"/>
  <c r="D16" i="2"/>
  <c r="D90" i="2" s="1"/>
  <c r="D17" i="2"/>
  <c r="D18" i="2"/>
  <c r="D13" i="2"/>
  <c r="E7" i="2"/>
  <c r="E6" i="2"/>
  <c r="E114" i="2" s="1"/>
  <c r="E122" i="2" s="1"/>
  <c r="E5" i="2"/>
  <c r="E27" i="2"/>
  <c r="E112" i="2" s="1"/>
  <c r="E28" i="2"/>
  <c r="E11" i="2"/>
  <c r="E50" i="2" s="1"/>
  <c r="E51" i="2" s="1"/>
  <c r="E12" i="2"/>
  <c r="E14" i="2"/>
  <c r="E15" i="2"/>
  <c r="E16" i="2"/>
  <c r="E17" i="2"/>
  <c r="E18" i="2"/>
  <c r="E90" i="2" s="1"/>
  <c r="E13" i="2"/>
  <c r="Z29" i="4"/>
  <c r="J178" i="2"/>
  <c r="K178" i="2"/>
  <c r="J41" i="2"/>
  <c r="J177" i="2"/>
  <c r="J181" i="2" s="1"/>
  <c r="K41" i="2"/>
  <c r="K177" i="2" s="1"/>
  <c r="K181" i="2" s="1"/>
  <c r="I178" i="2"/>
  <c r="I41" i="2"/>
  <c r="I177" i="2" s="1"/>
  <c r="I181" i="2" s="1"/>
  <c r="H178" i="2"/>
  <c r="H41" i="2"/>
  <c r="H177" i="2" s="1"/>
  <c r="H181" i="2" s="1"/>
  <c r="G180" i="2"/>
  <c r="G178" i="2"/>
  <c r="G41" i="2"/>
  <c r="G177" i="2"/>
  <c r="G181" i="2" s="1"/>
  <c r="G173" i="2"/>
  <c r="F180" i="2"/>
  <c r="F178" i="2"/>
  <c r="F41" i="2"/>
  <c r="F177" i="2"/>
  <c r="F181" i="2" s="1"/>
  <c r="F173" i="2"/>
  <c r="E180" i="2"/>
  <c r="E178" i="2"/>
  <c r="E173" i="2"/>
  <c r="E41" i="2"/>
  <c r="E177" i="2" s="1"/>
  <c r="E181" i="2" s="1"/>
  <c r="K175" i="2"/>
  <c r="J175" i="2"/>
  <c r="I175" i="2"/>
  <c r="H175" i="2"/>
  <c r="G175" i="2"/>
  <c r="F175" i="2"/>
  <c r="E175" i="2"/>
  <c r="D175" i="2"/>
  <c r="C175" i="2"/>
  <c r="I179" i="2"/>
  <c r="H179" i="2"/>
  <c r="G179" i="2"/>
  <c r="F179" i="2"/>
  <c r="E179" i="2"/>
  <c r="D41" i="2"/>
  <c r="D177" i="2"/>
  <c r="D181" i="2" s="1"/>
  <c r="D178" i="2"/>
  <c r="D179" i="2"/>
  <c r="D180" i="2"/>
  <c r="C178" i="2"/>
  <c r="C41" i="2"/>
  <c r="C177" i="2" s="1"/>
  <c r="C181" i="2" s="1"/>
  <c r="C179" i="2"/>
  <c r="C180" i="2"/>
  <c r="D173" i="2"/>
  <c r="C173" i="2"/>
  <c r="H19" i="2"/>
  <c r="H20" i="2"/>
  <c r="H22" i="2"/>
  <c r="H144" i="2"/>
  <c r="H153" i="2" s="1"/>
  <c r="K15" i="2"/>
  <c r="K17" i="2"/>
  <c r="K89" i="2"/>
  <c r="K18" i="2"/>
  <c r="K19" i="2"/>
  <c r="K20" i="2"/>
  <c r="K7" i="2"/>
  <c r="K6" i="2"/>
  <c r="K5" i="2"/>
  <c r="K144" i="2"/>
  <c r="K153" i="2"/>
  <c r="K163" i="2" s="1"/>
  <c r="K11" i="2"/>
  <c r="K50" i="2" s="1"/>
  <c r="K51" i="2" s="1"/>
  <c r="K58" i="2" s="1"/>
  <c r="K12" i="2"/>
  <c r="K14" i="2"/>
  <c r="K28" i="2"/>
  <c r="K112" i="2" s="1"/>
  <c r="K49" i="2" s="1"/>
  <c r="K27" i="2"/>
  <c r="K16" i="2"/>
  <c r="K13" i="2"/>
  <c r="W30" i="4"/>
  <c r="W29" i="4" s="1"/>
  <c r="W28" i="4" s="1"/>
  <c r="W27" i="4" s="1"/>
  <c r="W26" i="4" s="1"/>
  <c r="I13" i="4"/>
  <c r="I19" i="2"/>
  <c r="I20" i="2"/>
  <c r="I31" i="2"/>
  <c r="I32" i="2" s="1"/>
  <c r="J31" i="2"/>
  <c r="J32" i="2"/>
  <c r="J1" i="2" s="1"/>
  <c r="K31" i="2"/>
  <c r="K32" i="2" s="1"/>
  <c r="K47" i="2" s="1"/>
  <c r="I144" i="2"/>
  <c r="I153" i="2" s="1"/>
  <c r="I163" i="2" s="1"/>
  <c r="F19" i="2"/>
  <c r="F20" i="2"/>
  <c r="F22" i="2"/>
  <c r="F144" i="2"/>
  <c r="F153" i="2" s="1"/>
  <c r="F163" i="2" s="1"/>
  <c r="F21" i="2"/>
  <c r="D19" i="2"/>
  <c r="D20" i="2"/>
  <c r="D89" i="2"/>
  <c r="D143" i="2" s="1"/>
  <c r="D152" i="2" s="1"/>
  <c r="D21" i="2"/>
  <c r="D22" i="2"/>
  <c r="D144" i="2"/>
  <c r="D153" i="2" s="1"/>
  <c r="D163" i="2" s="1"/>
  <c r="B126" i="3"/>
  <c r="C19" i="2"/>
  <c r="E19" i="2"/>
  <c r="C20" i="2"/>
  <c r="E20" i="2"/>
  <c r="C21" i="2"/>
  <c r="E21" i="2"/>
  <c r="C22" i="2"/>
  <c r="E22" i="2"/>
  <c r="C144" i="2"/>
  <c r="C153" i="2" s="1"/>
  <c r="C163" i="2" s="1"/>
  <c r="E144" i="2"/>
  <c r="E153" i="2"/>
  <c r="E163" i="2" s="1"/>
  <c r="D4" i="2"/>
  <c r="D172" i="2" s="1"/>
  <c r="F4" i="2"/>
  <c r="F172" i="2" s="1"/>
  <c r="C4" i="2"/>
  <c r="C172" i="2" s="1"/>
  <c r="E4" i="2"/>
  <c r="E172" i="2" s="1"/>
  <c r="G4" i="2"/>
  <c r="G172" i="2" s="1"/>
  <c r="G8" i="2"/>
  <c r="G92" i="2" s="1"/>
  <c r="G174" i="2"/>
  <c r="E8" i="2"/>
  <c r="E174" i="2"/>
  <c r="C8" i="2"/>
  <c r="C114" i="2" s="1"/>
  <c r="C122" i="2" s="1"/>
  <c r="C92" i="2"/>
  <c r="C174" i="2"/>
  <c r="F174" i="2"/>
  <c r="F8" i="2"/>
  <c r="F92" i="2"/>
  <c r="D8" i="2"/>
  <c r="D92" i="2"/>
  <c r="D174" i="2"/>
  <c r="F176" i="2"/>
  <c r="C176" i="2"/>
  <c r="G176" i="2"/>
  <c r="D176" i="2"/>
  <c r="E176" i="2"/>
  <c r="G89" i="2"/>
  <c r="G143" i="2"/>
  <c r="G152" i="2" s="1"/>
  <c r="J22" i="2"/>
  <c r="G112" i="2"/>
  <c r="G49" i="2"/>
  <c r="H14" i="4"/>
  <c r="H15" i="4"/>
  <c r="H24" i="4" s="1"/>
  <c r="H33" i="4" s="1"/>
  <c r="G14" i="4"/>
  <c r="F14" i="4" s="1"/>
  <c r="G15" i="4"/>
  <c r="G24" i="4" s="1"/>
  <c r="G33" i="4" s="1"/>
  <c r="H4" i="2"/>
  <c r="H172" i="2"/>
  <c r="K4" i="2"/>
  <c r="K172" i="2"/>
  <c r="I173" i="2"/>
  <c r="K173" i="2"/>
  <c r="J4" i="2"/>
  <c r="J172" i="2"/>
  <c r="H173" i="2"/>
  <c r="J173" i="2"/>
  <c r="I4" i="2"/>
  <c r="I172" i="2"/>
  <c r="J8" i="2"/>
  <c r="J110" i="2"/>
  <c r="J174" i="2"/>
  <c r="K174" i="2"/>
  <c r="K8" i="2"/>
  <c r="K114" i="2" s="1"/>
  <c r="K122" i="2" s="1"/>
  <c r="K85" i="2"/>
  <c r="K111" i="2" s="1"/>
  <c r="K119" i="2" s="1"/>
  <c r="H8" i="2"/>
  <c r="H110" i="2"/>
  <c r="H48" i="2" s="1"/>
  <c r="H56" i="2" s="1"/>
  <c r="H174" i="2"/>
  <c r="K176" i="2"/>
  <c r="J176" i="2"/>
  <c r="I8" i="2"/>
  <c r="I114" i="2" s="1"/>
  <c r="I122" i="2" s="1"/>
  <c r="I174" i="2"/>
  <c r="H176" i="2"/>
  <c r="I176" i="2"/>
  <c r="G90" i="2"/>
  <c r="J89" i="2"/>
  <c r="J143" i="2"/>
  <c r="J152" i="2" s="1"/>
  <c r="J85" i="2"/>
  <c r="J111" i="2" s="1"/>
  <c r="J119" i="2" s="1"/>
  <c r="H85" i="2"/>
  <c r="H97" i="2"/>
  <c r="E89" i="2"/>
  <c r="E143" i="2"/>
  <c r="E152" i="2" s="1"/>
  <c r="D112" i="2"/>
  <c r="D49" i="2" s="1"/>
  <c r="C112" i="2"/>
  <c r="C49" i="2"/>
  <c r="C85" i="2"/>
  <c r="C111" i="2"/>
  <c r="C119" i="2" s="1"/>
  <c r="I92" i="2"/>
  <c r="G85" i="2"/>
  <c r="G111" i="2" s="1"/>
  <c r="G119" i="2" s="1"/>
  <c r="K90" i="2"/>
  <c r="F89" i="2"/>
  <c r="F143" i="2" s="1"/>
  <c r="F152" i="2" s="1"/>
  <c r="E85" i="2"/>
  <c r="E97" i="2"/>
  <c r="E92" i="2"/>
  <c r="Z30" i="4"/>
  <c r="Z31" i="4" s="1"/>
  <c r="Z32" i="4" s="1"/>
  <c r="Z28" i="4"/>
  <c r="Z27" i="4"/>
  <c r="Z26" i="4" s="1"/>
  <c r="Z25" i="4" s="1"/>
  <c r="C90" i="2"/>
  <c r="E86" i="2"/>
  <c r="E88" i="2" s="1"/>
  <c r="C86" i="2"/>
  <c r="C88" i="2" s="1"/>
  <c r="I86" i="2"/>
  <c r="I88" i="2"/>
  <c r="H86" i="2"/>
  <c r="H113" i="2"/>
  <c r="G86" i="2"/>
  <c r="G88" i="2"/>
  <c r="H88" i="2"/>
  <c r="J114" i="2"/>
  <c r="J122" i="2" s="1"/>
  <c r="J47" i="2"/>
  <c r="I90" i="2"/>
  <c r="I115" i="2"/>
  <c r="I123" i="2" s="1"/>
  <c r="E110" i="2"/>
  <c r="E48" i="2" s="1"/>
  <c r="E56" i="2" s="1"/>
  <c r="I49" i="2"/>
  <c r="I120" i="2"/>
  <c r="G113" i="2"/>
  <c r="G121" i="2"/>
  <c r="I113" i="2"/>
  <c r="I121" i="2"/>
  <c r="I87" i="2"/>
  <c r="E111" i="2"/>
  <c r="E119" i="2" s="1"/>
  <c r="C97" i="2"/>
  <c r="K92" i="2"/>
  <c r="K110" i="2"/>
  <c r="K48" i="2" s="1"/>
  <c r="H92" i="2"/>
  <c r="H114" i="2"/>
  <c r="H122" i="2" s="1"/>
  <c r="F114" i="2"/>
  <c r="F122" i="2" s="1"/>
  <c r="G120" i="2"/>
  <c r="J48" i="2"/>
  <c r="J118" i="2"/>
  <c r="G1" i="2"/>
  <c r="G171" i="2" s="1"/>
  <c r="H13" i="4"/>
  <c r="H1" i="2"/>
  <c r="D1" i="2"/>
  <c r="H121" i="2"/>
  <c r="J113" i="2"/>
  <c r="J121" i="2" s="1"/>
  <c r="G97" i="2"/>
  <c r="F110" i="2"/>
  <c r="F118" i="2" s="1"/>
  <c r="J92" i="2"/>
  <c r="G57" i="2"/>
  <c r="K1" i="2"/>
  <c r="K143" i="2"/>
  <c r="K152" i="2"/>
  <c r="F113" i="2"/>
  <c r="F121" i="2"/>
  <c r="F88" i="2"/>
  <c r="F87" i="2"/>
  <c r="F115" i="2" s="1"/>
  <c r="F123" i="2" s="1"/>
  <c r="F49" i="2"/>
  <c r="F47" i="2"/>
  <c r="J58" i="2"/>
  <c r="F48" i="2"/>
  <c r="F56" i="2"/>
  <c r="J171" i="2"/>
  <c r="D113" i="2"/>
  <c r="D121" i="2" s="1"/>
  <c r="I152" i="2"/>
  <c r="J87" i="2"/>
  <c r="J115" i="2"/>
  <c r="J123" i="2" s="1"/>
  <c r="J88" i="2"/>
  <c r="J147" i="2"/>
  <c r="J156" i="2" s="1"/>
  <c r="E1" i="2"/>
  <c r="E47" i="2"/>
  <c r="D85" i="2"/>
  <c r="C110" i="2"/>
  <c r="C118" i="2" s="1"/>
  <c r="E87" i="2"/>
  <c r="E115" i="2"/>
  <c r="E123" i="2" s="1"/>
  <c r="H87" i="2"/>
  <c r="H115" i="2" s="1"/>
  <c r="H123" i="2" s="1"/>
  <c r="K120" i="2"/>
  <c r="C120" i="2"/>
  <c r="H111" i="2"/>
  <c r="H119" i="2"/>
  <c r="G87" i="2"/>
  <c r="G115" i="2" s="1"/>
  <c r="G123" i="2" s="1"/>
  <c r="K97" i="2"/>
  <c r="E118" i="2"/>
  <c r="D114" i="2"/>
  <c r="D122" i="2" s="1"/>
  <c r="F85" i="2"/>
  <c r="K86" i="2"/>
  <c r="K88" i="2" s="1"/>
  <c r="K147" i="2" s="1"/>
  <c r="K156" i="2" s="1"/>
  <c r="J97" i="2"/>
  <c r="D110" i="2"/>
  <c r="F111" i="2"/>
  <c r="F119" i="2" s="1"/>
  <c r="F97" i="2"/>
  <c r="C48" i="2"/>
  <c r="E171" i="2"/>
  <c r="D118" i="2"/>
  <c r="D48" i="2"/>
  <c r="K87" i="2"/>
  <c r="K115" i="2" s="1"/>
  <c r="K123" i="2" s="1"/>
  <c r="K113" i="2"/>
  <c r="K121" i="2"/>
  <c r="D97" i="2"/>
  <c r="D111" i="2"/>
  <c r="D119" i="2" s="1"/>
  <c r="F171" i="2"/>
  <c r="K171" i="2"/>
  <c r="F124" i="2"/>
  <c r="F104" i="2" s="1"/>
  <c r="F126" i="2" l="1"/>
  <c r="D88" i="2"/>
  <c r="D147" i="2" s="1"/>
  <c r="D156" i="2" s="1"/>
  <c r="D87" i="2"/>
  <c r="D115" i="2" s="1"/>
  <c r="D123" i="2" s="1"/>
  <c r="H171" i="2"/>
  <c r="I1" i="2"/>
  <c r="I47" i="2"/>
  <c r="C143" i="2"/>
  <c r="C152" i="2" s="1"/>
  <c r="C147" i="2"/>
  <c r="C156" i="2" s="1"/>
  <c r="H120" i="2"/>
  <c r="H49" i="2"/>
  <c r="E49" i="2"/>
  <c r="E57" i="2" s="1"/>
  <c r="E120" i="2"/>
  <c r="E124" i="2" s="1"/>
  <c r="I58" i="2"/>
  <c r="C47" i="2"/>
  <c r="C1" i="2"/>
  <c r="H93" i="2" s="1"/>
  <c r="D128" i="2"/>
  <c r="H136" i="2"/>
  <c r="D171" i="2"/>
  <c r="F57" i="2"/>
  <c r="E14" i="4"/>
  <c r="F15" i="4"/>
  <c r="F24" i="4" s="1"/>
  <c r="F33" i="4" s="1"/>
  <c r="H147" i="2"/>
  <c r="H156" i="2" s="1"/>
  <c r="H143" i="2"/>
  <c r="H152" i="2" s="1"/>
  <c r="G58" i="2"/>
  <c r="J120" i="2"/>
  <c r="J124" i="2" s="1"/>
  <c r="J49" i="2"/>
  <c r="H27" i="4"/>
  <c r="K118" i="2"/>
  <c r="K124" i="2" s="1"/>
  <c r="I85" i="2"/>
  <c r="H118" i="2"/>
  <c r="H124" i="2" s="1"/>
  <c r="I110" i="2"/>
  <c r="C113" i="2"/>
  <c r="C121" i="2" s="1"/>
  <c r="C124" i="2" s="1"/>
  <c r="D120" i="2"/>
  <c r="D124" i="2" s="1"/>
  <c r="D50" i="2"/>
  <c r="D51" i="2" s="1"/>
  <c r="F58" i="2" s="1"/>
  <c r="G114" i="2"/>
  <c r="G122" i="2" s="1"/>
  <c r="C87" i="2"/>
  <c r="C115" i="2" s="1"/>
  <c r="C123" i="2" s="1"/>
  <c r="E113" i="2"/>
  <c r="E121" i="2" s="1"/>
  <c r="G110" i="2"/>
  <c r="E104" i="2" l="1"/>
  <c r="E126" i="2"/>
  <c r="C104" i="2"/>
  <c r="C126" i="2"/>
  <c r="I118" i="2"/>
  <c r="I48" i="2"/>
  <c r="H162" i="2"/>
  <c r="E15" i="4"/>
  <c r="D14" i="4"/>
  <c r="E99" i="2"/>
  <c r="C166" i="2"/>
  <c r="D93" i="2"/>
  <c r="G48" i="2"/>
  <c r="G56" i="2" s="1"/>
  <c r="G118" i="2"/>
  <c r="G124" i="2" s="1"/>
  <c r="E136" i="2"/>
  <c r="C162" i="2"/>
  <c r="D166" i="2"/>
  <c r="D126" i="2"/>
  <c r="D104" i="2"/>
  <c r="I111" i="2"/>
  <c r="I119" i="2" s="1"/>
  <c r="I97" i="2"/>
  <c r="J126" i="2"/>
  <c r="J104" i="2"/>
  <c r="B24" i="8"/>
  <c r="B22" i="8"/>
  <c r="F27" i="4"/>
  <c r="G25" i="4"/>
  <c r="G27" i="4"/>
  <c r="I38" i="4"/>
  <c r="B7" i="8"/>
  <c r="G26" i="4"/>
  <c r="L35" i="4"/>
  <c r="C127" i="2"/>
  <c r="G38" i="4"/>
  <c r="H34" i="4"/>
  <c r="F35" i="4"/>
  <c r="I26" i="4"/>
  <c r="F28" i="4"/>
  <c r="J134" i="2"/>
  <c r="M35" i="4"/>
  <c r="F26" i="4"/>
  <c r="F30" i="4"/>
  <c r="B4" i="8"/>
  <c r="J135" i="2"/>
  <c r="J99" i="2"/>
  <c r="I31" i="4"/>
  <c r="D137" i="2"/>
  <c r="L30" i="4"/>
  <c r="J138" i="2"/>
  <c r="H137" i="2"/>
  <c r="F134" i="2"/>
  <c r="F138" i="2"/>
  <c r="K162" i="2"/>
  <c r="K135" i="2"/>
  <c r="K138" i="2"/>
  <c r="G134" i="2"/>
  <c r="C93" i="2"/>
  <c r="I35" i="4"/>
  <c r="D94" i="2"/>
  <c r="G162" i="2"/>
  <c r="J128" i="2"/>
  <c r="C139" i="2"/>
  <c r="B23" i="8"/>
  <c r="G136" i="2"/>
  <c r="E162" i="2"/>
  <c r="C138" i="2"/>
  <c r="H26" i="4"/>
  <c r="L26" i="4"/>
  <c r="I29" i="4"/>
  <c r="I27" i="4"/>
  <c r="F31" i="4"/>
  <c r="B12" i="8"/>
  <c r="H29" i="4"/>
  <c r="I34" i="4"/>
  <c r="B19" i="8"/>
  <c r="C94" i="2"/>
  <c r="E94" i="2"/>
  <c r="C98" i="2"/>
  <c r="G138" i="2"/>
  <c r="G35" i="4"/>
  <c r="B17" i="8"/>
  <c r="D17" i="8" s="1"/>
  <c r="G128" i="2"/>
  <c r="J94" i="2"/>
  <c r="H99" i="2"/>
  <c r="C135" i="2"/>
  <c r="F135" i="2"/>
  <c r="F98" i="2"/>
  <c r="K98" i="2"/>
  <c r="K99" i="2"/>
  <c r="M28" i="4"/>
  <c r="G28" i="4"/>
  <c r="L27" i="4"/>
  <c r="H25" i="4"/>
  <c r="J93" i="2"/>
  <c r="J95" i="2" s="1"/>
  <c r="C171" i="2"/>
  <c r="B6" i="8"/>
  <c r="G93" i="2"/>
  <c r="H138" i="2"/>
  <c r="M29" i="4" s="1"/>
  <c r="D138" i="2"/>
  <c r="L34" i="4"/>
  <c r="E134" i="2"/>
  <c r="B14" i="8"/>
  <c r="D14" i="8" s="1"/>
  <c r="G99" i="2"/>
  <c r="J136" i="2"/>
  <c r="E139" i="2"/>
  <c r="H28" i="4"/>
  <c r="L29" i="4"/>
  <c r="B20" i="8"/>
  <c r="E135" i="2"/>
  <c r="I28" i="4"/>
  <c r="G139" i="2"/>
  <c r="J162" i="2"/>
  <c r="E128" i="2"/>
  <c r="D136" i="2"/>
  <c r="H135" i="2"/>
  <c r="F137" i="2"/>
  <c r="F136" i="2"/>
  <c r="F93" i="2"/>
  <c r="F95" i="2" s="1"/>
  <c r="F147" i="2" s="1"/>
  <c r="F156" i="2" s="1"/>
  <c r="F94" i="2"/>
  <c r="C137" i="2"/>
  <c r="H35" i="4"/>
  <c r="I25" i="4"/>
  <c r="G135" i="2"/>
  <c r="C136" i="2"/>
  <c r="I30" i="4"/>
  <c r="E138" i="2"/>
  <c r="H127" i="2"/>
  <c r="L28" i="4"/>
  <c r="C168" i="2"/>
  <c r="B8" i="8"/>
  <c r="G137" i="2"/>
  <c r="G29" i="4"/>
  <c r="H134" i="2"/>
  <c r="D99" i="2"/>
  <c r="F25" i="4"/>
  <c r="B9" i="8"/>
  <c r="B5" i="8"/>
  <c r="E93" i="2"/>
  <c r="E95" i="2" s="1"/>
  <c r="E147" i="2" s="1"/>
  <c r="E156" i="2" s="1"/>
  <c r="E166" i="2" s="1"/>
  <c r="G98" i="2"/>
  <c r="G100" i="2" s="1"/>
  <c r="G146" i="2" s="1"/>
  <c r="G155" i="2" s="1"/>
  <c r="G163" i="2"/>
  <c r="G34" i="4"/>
  <c r="E137" i="2"/>
  <c r="L37" i="4"/>
  <c r="G30" i="4"/>
  <c r="H98" i="2"/>
  <c r="H100" i="2" s="1"/>
  <c r="H146" i="2" s="1"/>
  <c r="H155" i="2" s="1"/>
  <c r="H165" i="2" s="1"/>
  <c r="M26" i="4"/>
  <c r="D134" i="2"/>
  <c r="J137" i="2"/>
  <c r="D162" i="2"/>
  <c r="F139" i="2"/>
  <c r="F162" i="2"/>
  <c r="K93" i="2"/>
  <c r="M27" i="4"/>
  <c r="F34" i="4"/>
  <c r="D135" i="2"/>
  <c r="H94" i="2"/>
  <c r="H95" i="2" s="1"/>
  <c r="G127" i="2"/>
  <c r="D127" i="2"/>
  <c r="E98" i="2"/>
  <c r="E100" i="2" s="1"/>
  <c r="E146" i="2" s="1"/>
  <c r="E155" i="2" s="1"/>
  <c r="E127" i="2"/>
  <c r="G37" i="4"/>
  <c r="F99" i="2"/>
  <c r="K139" i="2"/>
  <c r="K137" i="2"/>
  <c r="C99" i="2"/>
  <c r="C128" i="2"/>
  <c r="H139" i="2"/>
  <c r="M30" i="4" s="1"/>
  <c r="B15" i="8"/>
  <c r="D15" i="8" s="1"/>
  <c r="K94" i="2"/>
  <c r="K127" i="2"/>
  <c r="M34" i="4"/>
  <c r="B21" i="8"/>
  <c r="J98" i="2"/>
  <c r="J100" i="2" s="1"/>
  <c r="J146" i="2" s="1"/>
  <c r="J155" i="2" s="1"/>
  <c r="H128" i="2"/>
  <c r="F37" i="4"/>
  <c r="C134" i="2"/>
  <c r="C140" i="2" s="1"/>
  <c r="B11" i="8"/>
  <c r="F127" i="2"/>
  <c r="F129" i="2" s="1"/>
  <c r="K136" i="2"/>
  <c r="K134" i="2"/>
  <c r="K140" i="2" s="1"/>
  <c r="G94" i="2"/>
  <c r="F29" i="4"/>
  <c r="J139" i="2"/>
  <c r="H163" i="2"/>
  <c r="M25" i="4"/>
  <c r="B10" i="8"/>
  <c r="F128" i="2"/>
  <c r="B13" i="8"/>
  <c r="B18" i="8"/>
  <c r="D18" i="8" s="1"/>
  <c r="K67" i="2" s="1"/>
  <c r="G31" i="4"/>
  <c r="H57" i="2"/>
  <c r="I57" i="2"/>
  <c r="E58" i="2"/>
  <c r="H104" i="2"/>
  <c r="H126" i="2"/>
  <c r="H129" i="2" s="1"/>
  <c r="J57" i="2"/>
  <c r="K57" i="2"/>
  <c r="K104" i="2"/>
  <c r="K126" i="2"/>
  <c r="D139" i="2"/>
  <c r="H30" i="4"/>
  <c r="I171" i="2"/>
  <c r="I136" i="2"/>
  <c r="I138" i="2"/>
  <c r="I99" i="2"/>
  <c r="I135" i="2"/>
  <c r="I137" i="2"/>
  <c r="I139" i="2"/>
  <c r="I98" i="2"/>
  <c r="I134" i="2"/>
  <c r="I162" i="2"/>
  <c r="I94" i="2"/>
  <c r="I128" i="2"/>
  <c r="I127" i="2"/>
  <c r="I93" i="2"/>
  <c r="D98" i="2"/>
  <c r="D100" i="2" s="1"/>
  <c r="D146" i="2" s="1"/>
  <c r="D155" i="2" s="1"/>
  <c r="D165" i="2" s="1"/>
  <c r="K166" i="2"/>
  <c r="F145" i="2" l="1"/>
  <c r="F154" i="2"/>
  <c r="M31" i="4"/>
  <c r="D140" i="2"/>
  <c r="I16" i="4"/>
  <c r="G18" i="4"/>
  <c r="I17" i="4"/>
  <c r="F18" i="4"/>
  <c r="G21" i="4"/>
  <c r="F17" i="4"/>
  <c r="H21" i="4"/>
  <c r="F19" i="4"/>
  <c r="G19" i="4"/>
  <c r="H17" i="4"/>
  <c r="H20" i="4"/>
  <c r="H18" i="4"/>
  <c r="F20" i="4"/>
  <c r="G20" i="4"/>
  <c r="I19" i="4"/>
  <c r="F21" i="4"/>
  <c r="I18" i="4"/>
  <c r="H19" i="4"/>
  <c r="I20" i="4"/>
  <c r="F16" i="4"/>
  <c r="H16" i="4"/>
  <c r="I21" i="4"/>
  <c r="G17" i="4"/>
  <c r="G16" i="4"/>
  <c r="K100" i="2"/>
  <c r="K146" i="2" s="1"/>
  <c r="K155" i="2" s="1"/>
  <c r="K165" i="2" s="1"/>
  <c r="A44" i="2"/>
  <c r="D12" i="8"/>
  <c r="G140" i="2"/>
  <c r="I100" i="2"/>
  <c r="I146" i="2" s="1"/>
  <c r="D95" i="2"/>
  <c r="E19" i="4"/>
  <c r="E16" i="4"/>
  <c r="C129" i="2"/>
  <c r="I95" i="2"/>
  <c r="I147" i="2" s="1"/>
  <c r="H154" i="2"/>
  <c r="H145" i="2"/>
  <c r="G36" i="4" s="1"/>
  <c r="D13" i="8"/>
  <c r="A45" i="2"/>
  <c r="E165" i="2"/>
  <c r="F166" i="2"/>
  <c r="K63" i="2"/>
  <c r="J64" i="2"/>
  <c r="X27" i="4" s="1"/>
  <c r="AC29" i="4" s="1"/>
  <c r="G67" i="2"/>
  <c r="AA29" i="4" s="1"/>
  <c r="H66" i="2"/>
  <c r="I65" i="2"/>
  <c r="F100" i="2"/>
  <c r="F146" i="2" s="1"/>
  <c r="F155" i="2" s="1"/>
  <c r="F165" i="2" s="1"/>
  <c r="I37" i="4"/>
  <c r="F140" i="2"/>
  <c r="J140" i="2"/>
  <c r="E20" i="4"/>
  <c r="D15" i="4"/>
  <c r="D21" i="4"/>
  <c r="D20" i="4"/>
  <c r="D17" i="4"/>
  <c r="D16" i="4"/>
  <c r="D18" i="4"/>
  <c r="D19" i="4"/>
  <c r="I56" i="2"/>
  <c r="K56" i="2"/>
  <c r="J56" i="2"/>
  <c r="I140" i="2"/>
  <c r="A43" i="2"/>
  <c r="D11" i="8"/>
  <c r="J65" i="2"/>
  <c r="X28" i="4" s="1"/>
  <c r="AC30" i="4" s="1"/>
  <c r="H67" i="2"/>
  <c r="K64" i="2"/>
  <c r="I66" i="2"/>
  <c r="H140" i="2"/>
  <c r="E140" i="2"/>
  <c r="G95" i="2"/>
  <c r="G147" i="2" s="1"/>
  <c r="C100" i="2"/>
  <c r="C146" i="2" s="1"/>
  <c r="C155" i="2" s="1"/>
  <c r="C165" i="2" s="1"/>
  <c r="C95" i="2"/>
  <c r="G104" i="2"/>
  <c r="G126" i="2"/>
  <c r="G129" i="2" s="1"/>
  <c r="E18" i="4"/>
  <c r="I124" i="2"/>
  <c r="E129" i="2"/>
  <c r="A42" i="2"/>
  <c r="D10" i="8"/>
  <c r="K95" i="2"/>
  <c r="K66" i="2"/>
  <c r="J67" i="2"/>
  <c r="X30" i="4" s="1"/>
  <c r="AC32" i="4" s="1"/>
  <c r="L25" i="4"/>
  <c r="L31" i="4" s="1"/>
  <c r="D129" i="2"/>
  <c r="E17" i="4"/>
  <c r="E21" i="4"/>
  <c r="T7" i="4" l="1"/>
  <c r="I126" i="2"/>
  <c r="I129" i="2" s="1"/>
  <c r="I104" i="2"/>
  <c r="J127" i="2"/>
  <c r="J129" i="2" s="1"/>
  <c r="K128" i="2"/>
  <c r="K129" i="2" s="1"/>
  <c r="H31" i="4"/>
  <c r="B16" i="8"/>
  <c r="D16" i="8" s="1"/>
  <c r="F65" i="2"/>
  <c r="H63" i="2"/>
  <c r="G64" i="2"/>
  <c r="AA26" i="4" s="1"/>
  <c r="E66" i="2"/>
  <c r="D67" i="2"/>
  <c r="C145" i="2"/>
  <c r="C154" i="2"/>
  <c r="I155" i="2"/>
  <c r="H37" i="4"/>
  <c r="U7" i="4"/>
  <c r="C67" i="2"/>
  <c r="G63" i="2"/>
  <c r="F64" i="2"/>
  <c r="D66" i="2"/>
  <c r="E65" i="2"/>
  <c r="D154" i="2"/>
  <c r="D145" i="2"/>
  <c r="K106" i="2"/>
  <c r="G165" i="2"/>
  <c r="C23" i="8"/>
  <c r="D23" i="8" s="1"/>
  <c r="C11" i="8"/>
  <c r="C8" i="8"/>
  <c r="D8" i="8" s="1"/>
  <c r="C16" i="8"/>
  <c r="C4" i="8"/>
  <c r="D4" i="8" s="1"/>
  <c r="C9" i="8"/>
  <c r="D9" i="8" s="1"/>
  <c r="C12" i="8"/>
  <c r="C15" i="8"/>
  <c r="C13" i="8"/>
  <c r="C17" i="8"/>
  <c r="C7" i="8"/>
  <c r="D7" i="8" s="1"/>
  <c r="C10" i="8"/>
  <c r="C24" i="8"/>
  <c r="D24" i="8" s="1"/>
  <c r="C5" i="8"/>
  <c r="D5" i="8" s="1"/>
  <c r="C22" i="8"/>
  <c r="D22" i="8" s="1"/>
  <c r="C19" i="8"/>
  <c r="D19" i="8" s="1"/>
  <c r="C21" i="8"/>
  <c r="D21" i="8" s="1"/>
  <c r="C18" i="8"/>
  <c r="C20" i="8"/>
  <c r="D20" i="8" s="1"/>
  <c r="C14" i="8"/>
  <c r="C6" i="8"/>
  <c r="D6" i="8" s="1"/>
  <c r="C63" i="2" s="1"/>
  <c r="G145" i="2"/>
  <c r="F36" i="4" s="1"/>
  <c r="G154" i="2"/>
  <c r="E145" i="2"/>
  <c r="E154" i="2"/>
  <c r="F164" i="2" s="1"/>
  <c r="G156" i="2"/>
  <c r="F38" i="4"/>
  <c r="I64" i="2"/>
  <c r="G66" i="2"/>
  <c r="AA28" i="4" s="1"/>
  <c r="J63" i="2"/>
  <c r="F67" i="2"/>
  <c r="H65" i="2"/>
  <c r="I156" i="2"/>
  <c r="H38" i="4"/>
  <c r="F66" i="2"/>
  <c r="I63" i="2"/>
  <c r="G65" i="2"/>
  <c r="AA27" i="4" s="1"/>
  <c r="E67" i="2"/>
  <c r="H64" i="2"/>
  <c r="G164" i="2" l="1"/>
  <c r="L36" i="4"/>
  <c r="C64" i="2"/>
  <c r="D63" i="2"/>
  <c r="E63" i="2"/>
  <c r="D64" i="2"/>
  <c r="C65" i="2"/>
  <c r="I165" i="2"/>
  <c r="J165" i="2"/>
  <c r="M37" i="4" s="1"/>
  <c r="J66" i="2"/>
  <c r="X29" i="4" s="1"/>
  <c r="AC31" i="4" s="1"/>
  <c r="I67" i="2"/>
  <c r="K65" i="2"/>
  <c r="J71" i="2"/>
  <c r="J72" i="2"/>
  <c r="J69" i="2"/>
  <c r="J106" i="2"/>
  <c r="J70" i="2"/>
  <c r="X26" i="4"/>
  <c r="C66" i="2"/>
  <c r="E64" i="2"/>
  <c r="F63" i="2"/>
  <c r="D65" i="2"/>
  <c r="D164" i="2"/>
  <c r="G73" i="2"/>
  <c r="G72" i="2"/>
  <c r="G69" i="2"/>
  <c r="G70" i="2"/>
  <c r="G106" i="2"/>
  <c r="G71" i="2"/>
  <c r="AA25" i="4"/>
  <c r="C164" i="2"/>
  <c r="I154" i="2"/>
  <c r="I145" i="2"/>
  <c r="H36" i="4" s="1"/>
  <c r="C70" i="2"/>
  <c r="C76" i="2" s="1"/>
  <c r="C72" i="2"/>
  <c r="C78" i="2" s="1"/>
  <c r="C106" i="2"/>
  <c r="C148" i="2" s="1"/>
  <c r="C157" i="2" s="1"/>
  <c r="C167" i="2" s="1"/>
  <c r="C73" i="2"/>
  <c r="C79" i="2" s="1"/>
  <c r="C69" i="2"/>
  <c r="C75" i="2" s="1"/>
  <c r="C81" i="2" s="1"/>
  <c r="C105" i="2" s="1"/>
  <c r="C71" i="2"/>
  <c r="C77" i="2" s="1"/>
  <c r="H164" i="2"/>
  <c r="H69" i="2"/>
  <c r="H75" i="2" s="1"/>
  <c r="H70" i="2"/>
  <c r="H76" i="2" s="1"/>
  <c r="H73" i="2"/>
  <c r="H79" i="2" s="1"/>
  <c r="H71" i="2"/>
  <c r="H77" i="2" s="1"/>
  <c r="H72" i="2"/>
  <c r="H78" i="2" s="1"/>
  <c r="H106" i="2"/>
  <c r="K154" i="2"/>
  <c r="K145" i="2"/>
  <c r="G166" i="2"/>
  <c r="H166" i="2"/>
  <c r="L38" i="4"/>
  <c r="I166" i="2"/>
  <c r="J166" i="2"/>
  <c r="M38" i="4" s="1"/>
  <c r="E164" i="2"/>
  <c r="I106" i="2"/>
  <c r="I72" i="2"/>
  <c r="I78" i="2" s="1"/>
  <c r="I73" i="2"/>
  <c r="I79" i="2" s="1"/>
  <c r="I70" i="2"/>
  <c r="I76" i="2" s="1"/>
  <c r="I69" i="2"/>
  <c r="I75" i="2" s="1"/>
  <c r="I71" i="2"/>
  <c r="I77" i="2" s="1"/>
  <c r="J145" i="2"/>
  <c r="I36" i="4" s="1"/>
  <c r="J154" i="2"/>
  <c r="V7" i="4"/>
  <c r="H81" i="2" l="1"/>
  <c r="H105" i="2" s="1"/>
  <c r="G75" i="2"/>
  <c r="AB25" i="4"/>
  <c r="J77" i="2"/>
  <c r="Y28" i="4"/>
  <c r="AD30" i="4" s="1"/>
  <c r="AB5" i="4"/>
  <c r="I164" i="2"/>
  <c r="G77" i="2"/>
  <c r="AB27" i="4"/>
  <c r="G78" i="2"/>
  <c r="AB28" i="4"/>
  <c r="J75" i="2"/>
  <c r="Y26" i="4"/>
  <c r="K70" i="2"/>
  <c r="K76" i="2" s="1"/>
  <c r="K69" i="2"/>
  <c r="K75" i="2" s="1"/>
  <c r="K71" i="2"/>
  <c r="K77" i="2" s="1"/>
  <c r="K72" i="2"/>
  <c r="K78" i="2" s="1"/>
  <c r="K73" i="2"/>
  <c r="K79" i="2" s="1"/>
  <c r="I81" i="2"/>
  <c r="I105" i="2" s="1"/>
  <c r="I148" i="2" s="1"/>
  <c r="I157" i="2" s="1"/>
  <c r="J164" i="2"/>
  <c r="M36" i="4" s="1"/>
  <c r="K164" i="2"/>
  <c r="C158" i="2"/>
  <c r="G79" i="2"/>
  <c r="AB29" i="4"/>
  <c r="J73" i="2"/>
  <c r="E69" i="2"/>
  <c r="E75" i="2" s="1"/>
  <c r="E81" i="2" s="1"/>
  <c r="E105" i="2" s="1"/>
  <c r="E70" i="2"/>
  <c r="E76" i="2" s="1"/>
  <c r="E73" i="2"/>
  <c r="E79" i="2" s="1"/>
  <c r="E71" i="2"/>
  <c r="E77" i="2" s="1"/>
  <c r="E72" i="2"/>
  <c r="E78" i="2" s="1"/>
  <c r="E106" i="2"/>
  <c r="E148" i="2" s="1"/>
  <c r="E157" i="2" s="1"/>
  <c r="H148" i="2"/>
  <c r="H157" i="2" s="1"/>
  <c r="G76" i="2"/>
  <c r="AB26" i="4"/>
  <c r="F72" i="2"/>
  <c r="F78" i="2" s="1"/>
  <c r="F73" i="2"/>
  <c r="F79" i="2" s="1"/>
  <c r="F69" i="2"/>
  <c r="F75" i="2" s="1"/>
  <c r="F81" i="2" s="1"/>
  <c r="F105" i="2" s="1"/>
  <c r="F71" i="2"/>
  <c r="F77" i="2" s="1"/>
  <c r="F70" i="2"/>
  <c r="F76" i="2" s="1"/>
  <c r="F106" i="2"/>
  <c r="F148" i="2" s="1"/>
  <c r="F157" i="2" s="1"/>
  <c r="J76" i="2"/>
  <c r="Y27" i="4"/>
  <c r="AD29" i="4" s="1"/>
  <c r="J78" i="2"/>
  <c r="Y29" i="4"/>
  <c r="AD31" i="4" s="1"/>
  <c r="D73" i="2"/>
  <c r="D79" i="2" s="1"/>
  <c r="D106" i="2"/>
  <c r="D148" i="2" s="1"/>
  <c r="D157" i="2" s="1"/>
  <c r="D72" i="2"/>
  <c r="D78" i="2" s="1"/>
  <c r="D69" i="2"/>
  <c r="D75" i="2" s="1"/>
  <c r="D81" i="2" s="1"/>
  <c r="D105" i="2" s="1"/>
  <c r="D71" i="2"/>
  <c r="D77" i="2" s="1"/>
  <c r="D70" i="2"/>
  <c r="D76" i="2" s="1"/>
  <c r="I167" i="2" l="1"/>
  <c r="H39" i="4"/>
  <c r="I158" i="2"/>
  <c r="F167" i="2"/>
  <c r="F158" i="2"/>
  <c r="G39" i="4"/>
  <c r="H158" i="2"/>
  <c r="E167" i="2"/>
  <c r="E158" i="2"/>
  <c r="F168" i="2" s="1"/>
  <c r="K81" i="2"/>
  <c r="K105" i="2" s="1"/>
  <c r="K148" i="2" s="1"/>
  <c r="K157" i="2" s="1"/>
  <c r="D167" i="2"/>
  <c r="D158" i="2"/>
  <c r="E168" i="2" s="1"/>
  <c r="G81" i="2"/>
  <c r="G105" i="2" s="1"/>
  <c r="G148" i="2" s="1"/>
  <c r="G157" i="2" s="1"/>
  <c r="J79" i="2"/>
  <c r="J81" i="2" s="1"/>
  <c r="J105" i="2" s="1"/>
  <c r="J148" i="2" s="1"/>
  <c r="J157" i="2" s="1"/>
  <c r="Y30" i="4"/>
  <c r="AD32" i="4" s="1"/>
  <c r="D168" i="2"/>
  <c r="J167" i="2" l="1"/>
  <c r="M39" i="4" s="1"/>
  <c r="M40" i="4" s="1"/>
  <c r="I39" i="4"/>
  <c r="J158" i="2"/>
  <c r="K167" i="2"/>
  <c r="K158" i="2"/>
  <c r="G40" i="4"/>
  <c r="I168" i="2"/>
  <c r="G167" i="2"/>
  <c r="L39" i="4"/>
  <c r="L40" i="4" s="1"/>
  <c r="F39" i="4"/>
  <c r="G158" i="2"/>
  <c r="H40" i="4"/>
  <c r="J168" i="2"/>
  <c r="H167" i="2"/>
  <c r="G168" i="2"/>
  <c r="F40" i="4" l="1"/>
  <c r="H168" i="2"/>
  <c r="K168" i="2"/>
  <c r="I40" i="4"/>
  <c r="T9" i="4"/>
  <c r="J57" i="4"/>
  <c r="U9" i="4"/>
  <c r="J58" i="4"/>
  <c r="K58" i="4" s="1"/>
  <c r="AA5" i="4" l="1"/>
  <c r="U10" i="4"/>
  <c r="AA6" i="4"/>
  <c r="K57" i="4"/>
  <c r="J59" i="4"/>
  <c r="K59" i="4" s="1"/>
  <c r="V9" i="4"/>
  <c r="AB6" i="4" s="1"/>
  <c r="X9" i="4" l="1"/>
  <c r="X7" i="4"/>
  <c r="AA7" i="4" l="1"/>
  <c r="AA9" i="4" l="1"/>
  <c r="AA10" i="4"/>
  <c r="W9" i="4" l="1"/>
  <c r="AC6" i="4"/>
  <c r="AC5" i="4"/>
  <c r="W7" i="4"/>
</calcChain>
</file>

<file path=xl/comments1.xml><?xml version="1.0" encoding="utf-8"?>
<comments xmlns="http://schemas.openxmlformats.org/spreadsheetml/2006/main">
  <authors>
    <author>gfinn</author>
  </authors>
  <commentList>
    <comment ref="B19" authorId="0">
      <text>
        <r>
          <rPr>
            <b/>
            <sz val="8"/>
            <color indexed="81"/>
            <rFont val="Tahoma"/>
            <family val="2"/>
          </rPr>
          <t>TEC:</t>
        </r>
        <r>
          <rPr>
            <sz val="8"/>
            <color indexed="81"/>
            <rFont val="Tahoma"/>
            <family val="2"/>
          </rPr>
          <t xml:space="preserve">
Initially the model was built the historical viability score was the only older information required.  Alternative data entry around this thinking have not been removed.</t>
        </r>
      </text>
    </comment>
  </commentList>
</comments>
</file>

<file path=xl/comments2.xml><?xml version="1.0" encoding="utf-8"?>
<comments xmlns="http://schemas.openxmlformats.org/spreadsheetml/2006/main">
  <authors>
    <author>aIshikaw</author>
  </authors>
  <commentList>
    <comment ref="H7" authorId="0">
      <text>
        <r>
          <rPr>
            <b/>
            <sz val="9"/>
            <color indexed="81"/>
            <rFont val="Tahoma"/>
            <family val="2"/>
          </rPr>
          <t>updated 2007A
some mistake in Annual Report
8 June 09 Aiko</t>
        </r>
      </text>
    </comment>
  </commentList>
</comments>
</file>

<file path=xl/comments3.xml><?xml version="1.0" encoding="utf-8"?>
<comments xmlns="http://schemas.openxmlformats.org/spreadsheetml/2006/main">
  <authors>
    <author>dstephen</author>
  </authors>
  <commentList>
    <comment ref="K9" authorId="0">
      <text>
        <r>
          <rPr>
            <b/>
            <sz val="8"/>
            <color indexed="81"/>
            <rFont val="Tahoma"/>
            <family val="2"/>
          </rPr>
          <t>TEC use only</t>
        </r>
        <r>
          <rPr>
            <sz val="8"/>
            <color indexed="81"/>
            <rFont val="Tahoma"/>
            <family val="2"/>
          </rPr>
          <t xml:space="preserve">
</t>
        </r>
      </text>
    </comment>
    <comment ref="K10" authorId="0">
      <text>
        <r>
          <rPr>
            <b/>
            <sz val="8"/>
            <color indexed="81"/>
            <rFont val="Tahoma"/>
            <family val="2"/>
          </rPr>
          <t>TEC use only</t>
        </r>
        <r>
          <rPr>
            <sz val="8"/>
            <color indexed="81"/>
            <rFont val="Tahoma"/>
            <family val="2"/>
          </rPr>
          <t xml:space="preserve">
</t>
        </r>
      </text>
    </comment>
    <comment ref="K18" authorId="0">
      <text>
        <r>
          <rPr>
            <b/>
            <sz val="8"/>
            <color indexed="81"/>
            <rFont val="Tahoma"/>
            <family val="2"/>
          </rPr>
          <t>TEC use only</t>
        </r>
      </text>
    </comment>
  </commentList>
</comments>
</file>

<file path=xl/sharedStrings.xml><?xml version="1.0" encoding="utf-8"?>
<sst xmlns="http://schemas.openxmlformats.org/spreadsheetml/2006/main" count="822" uniqueCount="542">
  <si>
    <t>Statement of Financial Performance</t>
  </si>
  <si>
    <t>(NZ$000s)</t>
  </si>
  <si>
    <t>Revenue</t>
  </si>
  <si>
    <t>Government Tuition Funding</t>
  </si>
  <si>
    <t>EFTS Vote Health</t>
  </si>
  <si>
    <t>ITOs</t>
  </si>
  <si>
    <t>Total Government Funding</t>
  </si>
  <si>
    <t>Student Tuition Fees</t>
  </si>
  <si>
    <t>Domestic except non-formal</t>
  </si>
  <si>
    <t>Non-formal</t>
  </si>
  <si>
    <t>International</t>
  </si>
  <si>
    <t>Total Student Tuition</t>
  </si>
  <si>
    <t>Research Income</t>
  </si>
  <si>
    <t>PBRF Income</t>
  </si>
  <si>
    <t>External research grants from agencies and foundations</t>
  </si>
  <si>
    <t>Other Research-derived income</t>
  </si>
  <si>
    <t>Total Research</t>
  </si>
  <si>
    <t>Other Income</t>
  </si>
  <si>
    <t>Interest</t>
  </si>
  <si>
    <t>Dividends</t>
  </si>
  <si>
    <t>Subcontracting revenue</t>
  </si>
  <si>
    <t>Other revenue</t>
  </si>
  <si>
    <t>Trust income (net)</t>
  </si>
  <si>
    <t>Total Other Income</t>
  </si>
  <si>
    <t>Total Revenue</t>
  </si>
  <si>
    <t>Personnel</t>
  </si>
  <si>
    <t>Total Personnel Costs (inc ACC, long-service, recruitment, etc)</t>
  </si>
  <si>
    <t>as % of Total Costs</t>
  </si>
  <si>
    <t>Other Expenses (except Depreciation)</t>
  </si>
  <si>
    <t>Faculty support and other costs</t>
  </si>
  <si>
    <t>Subcontracting costs</t>
  </si>
  <si>
    <t>Occupancy/Property costs</t>
  </si>
  <si>
    <t>Non Property Leases</t>
  </si>
  <si>
    <t>Other</t>
  </si>
  <si>
    <t>Depreciation and Amortisation</t>
  </si>
  <si>
    <t>Total Depreciation</t>
  </si>
  <si>
    <t>Total Amortisation</t>
  </si>
  <si>
    <t>Total Depreciation and Amortisation</t>
  </si>
  <si>
    <t>Surplus/(Deficit) before Unusual and Non-Recurring Items</t>
  </si>
  <si>
    <t>Unusual and Non-Recurring Items *</t>
  </si>
  <si>
    <t>Basis of income recognition</t>
  </si>
  <si>
    <t>Other government grants</t>
  </si>
  <si>
    <t>Student fees</t>
  </si>
  <si>
    <t>Statement of Financial Position</t>
  </si>
  <si>
    <t>Current Assets</t>
  </si>
  <si>
    <t>Cash &amp; Bank</t>
  </si>
  <si>
    <t>Short-term Investments</t>
  </si>
  <si>
    <t>Receivables</t>
  </si>
  <si>
    <t>Prepayments</t>
  </si>
  <si>
    <t>Inventory</t>
  </si>
  <si>
    <t>Total Current Assets</t>
  </si>
  <si>
    <t>Current Liabilities</t>
  </si>
  <si>
    <t>Bank Overdraft</t>
  </si>
  <si>
    <t>Accounts Payable</t>
  </si>
  <si>
    <t>Employee Entitlements</t>
  </si>
  <si>
    <t>Student Fees in Advance</t>
  </si>
  <si>
    <t>Other Funding in Advance</t>
  </si>
  <si>
    <t>Current portion of Term Loans</t>
  </si>
  <si>
    <t>Current portion of Finance Leases</t>
  </si>
  <si>
    <t>Trust current liabilities</t>
  </si>
  <si>
    <t>Total Current Liabilities</t>
  </si>
  <si>
    <t>Working Capital</t>
  </si>
  <si>
    <t>Land &amp; Buildings</t>
  </si>
  <si>
    <t>Library Collection and Information technology</t>
  </si>
  <si>
    <t>Plant and Equipment</t>
  </si>
  <si>
    <t>Trust fixed assets</t>
  </si>
  <si>
    <t>Total Fixed Assets</t>
  </si>
  <si>
    <t>Other Non-Current Assets</t>
  </si>
  <si>
    <t>Liquid Investments</t>
  </si>
  <si>
    <t>Non-Liquid Investments</t>
  </si>
  <si>
    <t>Total Investments</t>
  </si>
  <si>
    <t>Course Development Costs</t>
  </si>
  <si>
    <t>Trust investments and assets</t>
  </si>
  <si>
    <t>Total Other Non-Current Assets</t>
  </si>
  <si>
    <t>Term Liabilities</t>
  </si>
  <si>
    <t>Term Debt</t>
  </si>
  <si>
    <t>Term portion of Finance Leases</t>
  </si>
  <si>
    <t>Total Term Liabilities</t>
  </si>
  <si>
    <t>Net Assets</t>
  </si>
  <si>
    <t>Equity</t>
  </si>
  <si>
    <t>General Equity</t>
  </si>
  <si>
    <t>Revaluation Reserves</t>
  </si>
  <si>
    <t>Trust net equity</t>
  </si>
  <si>
    <t>Other Reserves</t>
  </si>
  <si>
    <t>Total Equity</t>
  </si>
  <si>
    <t>Check balance</t>
  </si>
  <si>
    <t>Basis for Valuation of Assets: (please provide a brief description of how the various classes of assets are valued)</t>
  </si>
  <si>
    <t>Information Technology</t>
  </si>
  <si>
    <t>Library</t>
  </si>
  <si>
    <t>Total available credit lines - committed</t>
  </si>
  <si>
    <t>Undrawn portion of committed credit lines</t>
  </si>
  <si>
    <t>Opening Equity</t>
  </si>
  <si>
    <t>Net Surplus / (Deficit)</t>
  </si>
  <si>
    <t>Movement in Revaluation Reserves</t>
  </si>
  <si>
    <t>Capital injections and grants</t>
  </si>
  <si>
    <t>Closing Equity</t>
  </si>
  <si>
    <t>Statement of Cash Flows</t>
  </si>
  <si>
    <t>Cash Flows from Operating Activities</t>
  </si>
  <si>
    <t>Cash was Provided from:</t>
  </si>
  <si>
    <t>Government Grants</t>
  </si>
  <si>
    <t>Revenue from Services Provided</t>
  </si>
  <si>
    <t>Total</t>
  </si>
  <si>
    <t>Cash was Applied to:</t>
  </si>
  <si>
    <t>Employees and Suppliers</t>
  </si>
  <si>
    <t>Interest Paid</t>
  </si>
  <si>
    <t>Net GST</t>
  </si>
  <si>
    <t>Net Cash Flows from Operating Activities</t>
  </si>
  <si>
    <t>Cash Flows from Investing Activities</t>
  </si>
  <si>
    <t>Sale of Investments</t>
  </si>
  <si>
    <t>Capitalised Course Development</t>
  </si>
  <si>
    <t>Purchase of Investments</t>
  </si>
  <si>
    <t>Net Cash Flows from Investing Activities</t>
  </si>
  <si>
    <t>Cash Flows from Financing Activities</t>
  </si>
  <si>
    <t>Debt</t>
  </si>
  <si>
    <t>Settlement of Debt</t>
  </si>
  <si>
    <t>Net Cash Flows from Financing Activities</t>
  </si>
  <si>
    <t>Total Net Cash Flows</t>
  </si>
  <si>
    <t>Total Liquid Assets</t>
  </si>
  <si>
    <t>Reconciliation of Cash Flow to Surplus/(Deficit)</t>
  </si>
  <si>
    <t>Surplus/(Deficit) from Operations</t>
  </si>
  <si>
    <t>Add Non-Cash Items</t>
  </si>
  <si>
    <t>Depreciation</t>
  </si>
  <si>
    <t>Gain / Loss on Sale of Assets</t>
  </si>
  <si>
    <t>Asset Write Offs</t>
  </si>
  <si>
    <t>Add Movements in Working Capital</t>
  </si>
  <si>
    <t>Decrease/(Increase) in receivables, prepayments etc</t>
  </si>
  <si>
    <t>Increase/(Decrease) in payables etc</t>
  </si>
  <si>
    <t>Non-Financial Information</t>
  </si>
  <si>
    <t>EFTS reportable in SDR</t>
  </si>
  <si>
    <t>Vote Education funded</t>
  </si>
  <si>
    <t>non-formal</t>
  </si>
  <si>
    <t>sub-degree</t>
  </si>
  <si>
    <t>undergraduate (degree)</t>
  </si>
  <si>
    <t>postgraduate (taught)</t>
  </si>
  <si>
    <t>postgraduate (research)</t>
  </si>
  <si>
    <t>Sub-total Vote Ed</t>
  </si>
  <si>
    <t>Sub-total International</t>
  </si>
  <si>
    <t>Vote Health</t>
  </si>
  <si>
    <t>other domestic, not EFTS subsidised</t>
  </si>
  <si>
    <t>other</t>
  </si>
  <si>
    <t>Sub-total Other</t>
  </si>
  <si>
    <t>Total EFTS</t>
  </si>
  <si>
    <t>EFTS delivery</t>
  </si>
  <si>
    <t>direct</t>
  </si>
  <si>
    <t>extramural</t>
  </si>
  <si>
    <t>via contract through others</t>
  </si>
  <si>
    <t>Total EFTS (ties to above)</t>
  </si>
  <si>
    <t>Total Absolute Student Numbers</t>
  </si>
  <si>
    <t>Total Absolute Formal Student Numbers</t>
  </si>
  <si>
    <t>Total Absolute Non-formal Student Numbers</t>
  </si>
  <si>
    <t>Number of Full Time Staff (head count)</t>
  </si>
  <si>
    <t>Number of Part Time Staff (head count)</t>
  </si>
  <si>
    <t>Academic / Tutorial Staff FTE</t>
  </si>
  <si>
    <t>Research-only staff FTE</t>
  </si>
  <si>
    <t>General (Non Academic) staff FTE</t>
  </si>
  <si>
    <t>Total FTE</t>
  </si>
  <si>
    <t>Expenditure on Research (NZ$'000)</t>
  </si>
  <si>
    <t>Total gross square meterage (annual figure)</t>
  </si>
  <si>
    <t xml:space="preserve"> </t>
  </si>
  <si>
    <t>Quick ratio</t>
  </si>
  <si>
    <t>Operating Surplus/Deficit</t>
  </si>
  <si>
    <t>Core Earnings</t>
  </si>
  <si>
    <t>Net cashflow from operations</t>
  </si>
  <si>
    <t>Liquid Funds Ratio</t>
  </si>
  <si>
    <t>Ability to service debt (Interest coverage ratio)</t>
  </si>
  <si>
    <t>Debt Equity Ratio</t>
  </si>
  <si>
    <t>Achievement of EFTS</t>
  </si>
  <si>
    <t>Sustainability measures</t>
  </si>
  <si>
    <t>Interest Received</t>
  </si>
  <si>
    <t>Cashflow in from Operations</t>
  </si>
  <si>
    <t>Cashflow out from Operations</t>
  </si>
  <si>
    <t>Non Financial Statement Inputs required</t>
  </si>
  <si>
    <t>Does a long term (&gt;2 year) committed cash advance facility exist?</t>
  </si>
  <si>
    <t>Yes</t>
  </si>
  <si>
    <t>No</t>
  </si>
  <si>
    <t>Dropdown</t>
  </si>
  <si>
    <t>Statement of Financial Performance Figures</t>
  </si>
  <si>
    <t>Statement of Financial Position Figures</t>
  </si>
  <si>
    <t>Statement of Cash Flows Figures</t>
  </si>
  <si>
    <t>Defined Terms</t>
  </si>
  <si>
    <t>Total Debt</t>
  </si>
  <si>
    <t>Does an end of year actual or forecast exist for EFTS?</t>
  </si>
  <si>
    <t>Liquid Assets</t>
  </si>
  <si>
    <t>EBIITDA</t>
  </si>
  <si>
    <t>Current liabilities likely to result in cash outflows</t>
  </si>
  <si>
    <t>Readily liquefiable assets</t>
  </si>
  <si>
    <t>Surplus liquidity</t>
  </si>
  <si>
    <t>Net Surplus</t>
  </si>
  <si>
    <t>Score</t>
  </si>
  <si>
    <t>Scoring for: Operating Surplus/Deficit</t>
  </si>
  <si>
    <t>Scoring for: Core Earnings</t>
  </si>
  <si>
    <t>Scoring for: Liquid Funds Ratio</t>
  </si>
  <si>
    <t>Interest Cover</t>
  </si>
  <si>
    <t>Score 4</t>
  </si>
  <si>
    <t>Score 5</t>
  </si>
  <si>
    <t>Quick Ratio</t>
  </si>
  <si>
    <t>Scoring for: Quick Ratio</t>
  </si>
  <si>
    <t>Average Viability Score</t>
  </si>
  <si>
    <t>Scoring for: Debt Equity Ratio</t>
  </si>
  <si>
    <t>Scoring for: Debt Equity Ratio  - Part 2</t>
  </si>
  <si>
    <t>Scoring for: Achievement of EFTS</t>
  </si>
  <si>
    <t>Scoring for: Return on fixed assets employed</t>
  </si>
  <si>
    <t>EBIITDA Return on Fixed Assets</t>
  </si>
  <si>
    <t>Scoring for: Debt servicing</t>
  </si>
  <si>
    <t>Financial Year analysis is being done for:</t>
  </si>
  <si>
    <t>Other Calculations</t>
  </si>
  <si>
    <t>Viability measures:</t>
  </si>
  <si>
    <t>Resulting in viability scores of:</t>
  </si>
  <si>
    <t>Sustainability measures:</t>
  </si>
  <si>
    <t>Scoring for: Trend and variability in financial indicators</t>
  </si>
  <si>
    <t>ok</t>
  </si>
  <si>
    <t>Average Sustainability Score</t>
  </si>
  <si>
    <t>Data appears to be</t>
  </si>
  <si>
    <t>Temporary field - Threshold for High Variability</t>
  </si>
  <si>
    <t>Low Variability</t>
  </si>
  <si>
    <t>High Variability</t>
  </si>
  <si>
    <t>Last Pt &lt;3</t>
  </si>
  <si>
    <t>Negative Trend</t>
  </si>
  <si>
    <t>Last Pt &gt;=3</t>
  </si>
  <si>
    <t>New</t>
  </si>
  <si>
    <t>Trend point one</t>
  </si>
  <si>
    <t>Trend point two</t>
  </si>
  <si>
    <t>Trend point three</t>
  </si>
  <si>
    <t>Trend point four</t>
  </si>
  <si>
    <t>Trend point five</t>
  </si>
  <si>
    <t>Closing Overall Viability score:</t>
  </si>
  <si>
    <t>Variance in overall Viability score:</t>
  </si>
  <si>
    <t>Trend in overall Viability score:</t>
  </si>
  <si>
    <t>Below2</t>
  </si>
  <si>
    <t>2 - 2.99</t>
  </si>
  <si>
    <t>3 - 3.99</t>
  </si>
  <si>
    <t>4 or above</t>
  </si>
  <si>
    <t>Closing</t>
  </si>
  <si>
    <t>Variability</t>
  </si>
  <si>
    <t>Last Pt &gt;=4</t>
  </si>
  <si>
    <t>Last Pt 3-4</t>
  </si>
  <si>
    <t>Favourable Trend</t>
  </si>
  <si>
    <t>Last Pt 2-3</t>
  </si>
  <si>
    <t>Last Pt &lt;2</t>
  </si>
  <si>
    <t>Trend</t>
  </si>
  <si>
    <t>Viability - Future View</t>
  </si>
  <si>
    <t>Sustainability - Future View</t>
  </si>
  <si>
    <t>Current</t>
  </si>
  <si>
    <t>Future</t>
  </si>
  <si>
    <t>Ability to service debt</t>
  </si>
  <si>
    <t>Overall Average Viability</t>
  </si>
  <si>
    <t>Projection</t>
  </si>
  <si>
    <t>$000</t>
  </si>
  <si>
    <t>Data submitted in commercial confidence</t>
  </si>
  <si>
    <t>Final Audited</t>
  </si>
  <si>
    <t>Overall Average Sustainability</t>
  </si>
  <si>
    <t>Viability</t>
  </si>
  <si>
    <t>Sustainability</t>
  </si>
  <si>
    <t>Mid Pt</t>
  </si>
  <si>
    <t>Quadrant</t>
  </si>
  <si>
    <t>Arrow Top</t>
  </si>
  <si>
    <t>Slope</t>
  </si>
  <si>
    <t>Top End</t>
  </si>
  <si>
    <t>Dot2</t>
  </si>
  <si>
    <t>Length</t>
  </si>
  <si>
    <t>Height</t>
  </si>
  <si>
    <t>Total Length</t>
  </si>
  <si>
    <t>Dot Length</t>
  </si>
  <si>
    <t>Not Available</t>
  </si>
  <si>
    <t>NA</t>
  </si>
  <si>
    <t>EFTS contained in Financial Summary - SDR information</t>
  </si>
  <si>
    <t>Calculated</t>
  </si>
  <si>
    <t>Provided</t>
  </si>
  <si>
    <t>Average Trend - Point 3</t>
  </si>
  <si>
    <t>Average Trend - Point 2</t>
  </si>
  <si>
    <t>Average Trend - Point 1</t>
  </si>
  <si>
    <t>Average Trend - Point 4</t>
  </si>
  <si>
    <t>Average Trend - Point 5</t>
  </si>
  <si>
    <t>Variance to Trend - Point 1</t>
  </si>
  <si>
    <t>Variance to Trend - Point 2</t>
  </si>
  <si>
    <t>Variance to Trend - Point 3</t>
  </si>
  <si>
    <t>Variance to Trend - Point 4</t>
  </si>
  <si>
    <t>Variance to Trend - Point 5</t>
  </si>
  <si>
    <t>Variance around trend</t>
  </si>
  <si>
    <t>Actual</t>
  </si>
  <si>
    <t>Anything on or below this line is not printed - Anything on or below this line is not printed - Anything on or below this line is not printed</t>
  </si>
  <si>
    <t>template version 27 July 2009</t>
  </si>
  <si>
    <t>Forecast</t>
  </si>
  <si>
    <t>Viability Metrics - Lookup Reference</t>
  </si>
  <si>
    <t>Core earnings</t>
  </si>
  <si>
    <t>Operating surplus/deficit</t>
  </si>
  <si>
    <t>Liquid funds ratio</t>
  </si>
  <si>
    <t>Debt equity ratio</t>
  </si>
  <si>
    <t>Score 3</t>
  </si>
  <si>
    <t>Final</t>
  </si>
  <si>
    <t>Budget</t>
  </si>
  <si>
    <t>Financial Performance Assessment - Financial Monitoring Framework (FMF)</t>
  </si>
  <si>
    <t>Financial Monitoring Framework (FMF)</t>
  </si>
  <si>
    <t>Debt repayment</t>
  </si>
  <si>
    <t>Trend and variability in average viability indicators</t>
  </si>
  <si>
    <t>Trend and variability in average viability</t>
  </si>
  <si>
    <t>Draft</t>
  </si>
  <si>
    <t>Bottom End</t>
  </si>
  <si>
    <t>Arrow Bottom</t>
  </si>
  <si>
    <t>International EFTS</t>
  </si>
  <si>
    <t>Details for Summary Table</t>
  </si>
  <si>
    <t>Surplus (Deficit) before abnormals</t>
  </si>
  <si>
    <t>SAC Funded EFTS (Exc ACE)</t>
  </si>
  <si>
    <t>Trend &amp; Variability Metric</t>
  </si>
  <si>
    <t>Two Neg</t>
  </si>
  <si>
    <t>One Neg</t>
  </si>
  <si>
    <t>No Neg</t>
  </si>
  <si>
    <t>No Neg +</t>
  </si>
  <si>
    <t>Three Neg</t>
  </si>
  <si>
    <t>Three Neg -</t>
  </si>
  <si>
    <t>Total Revenue - Converted to $m</t>
  </si>
  <si>
    <t>Total Expenses - Converted to $m</t>
  </si>
  <si>
    <t>Other EFTS (This line doesn't show on report page)</t>
  </si>
  <si>
    <t>Error check on EFTS (Should be zero)</t>
  </si>
  <si>
    <t>Abnormals (This line doesn't show on report page)</t>
  </si>
  <si>
    <t>Surplus (Deficit) after abnormals (Doesn't show on rpt)</t>
  </si>
  <si>
    <t>Total revenue ($m)</t>
  </si>
  <si>
    <t>Total expenses ($m)</t>
  </si>
  <si>
    <t>Surplus (deficit) ($m)</t>
  </si>
  <si>
    <t>Date of Report:</t>
  </si>
  <si>
    <t>Tertiary Education Institution:</t>
  </si>
  <si>
    <t>SAC category EFTS</t>
  </si>
  <si>
    <t>Initial</t>
  </si>
  <si>
    <t>Resubmission</t>
  </si>
  <si>
    <t>TBC</t>
  </si>
  <si>
    <t>High</t>
  </si>
  <si>
    <t>Low</t>
  </si>
  <si>
    <t>Moderate</t>
  </si>
  <si>
    <t>Summary Table - Lookup Reference</t>
  </si>
  <si>
    <t>Comments</t>
  </si>
  <si>
    <t xml:space="preserve">Tertiary Education Commission </t>
  </si>
  <si>
    <t>Calculation Spreadsheet</t>
  </si>
  <si>
    <t>Operating Surplus/Deficit before abnormals to total income.</t>
  </si>
  <si>
    <t xml:space="preserve">Ratio </t>
  </si>
  <si>
    <t>FMF Score</t>
  </si>
  <si>
    <t>Lookup Table for FMF Scores</t>
  </si>
  <si>
    <t>EBIITDA to total income.</t>
  </si>
  <si>
    <t>Cash inflow (receipts) from operations to Cash outflow (payments) from operations.</t>
  </si>
  <si>
    <t>Liquid assets less short term overdrafts to cash outflow (payments) from operations.</t>
  </si>
  <si>
    <t>Earnings before interest paid and abnormals to Interest paid.</t>
  </si>
  <si>
    <t>(Interest coverage ratio)</t>
  </si>
  <si>
    <t>Scoring for: Ability to service debt</t>
  </si>
  <si>
    <t>If no Interest payments exist</t>
  </si>
  <si>
    <t>Core earn &gt;10%</t>
  </si>
  <si>
    <t>Interest payment occur in the year</t>
  </si>
  <si>
    <t>Readily liquefiable assets divided by current liabilities likely to result in cash outflows.</t>
  </si>
  <si>
    <t>Sustainability Metrics</t>
  </si>
  <si>
    <t>Viability Metrics</t>
  </si>
  <si>
    <t>"Total Debt" to Total Debt plus Equity.</t>
  </si>
  <si>
    <t>Core earnings 10%+</t>
  </si>
  <si>
    <t>Core Earnings &lt;10%</t>
  </si>
  <si>
    <t>or</t>
  </si>
  <si>
    <t>Number of achieved domestic SAC funded EFTS as a percentage of original agreed EFTS at beginning of year.</t>
  </si>
  <si>
    <t>EBIITDA to end of year fixed assets.</t>
  </si>
  <si>
    <t>Total debt less any surplus liquidity to Surplus/Deficit before abnormals.</t>
  </si>
  <si>
    <t>And no "Total Debt"</t>
  </si>
  <si>
    <t>Possible</t>
  </si>
  <si>
    <t>Description of what the Lookup is achieving</t>
  </si>
  <si>
    <t>Lookup_Table_FMF_Scores</t>
  </si>
  <si>
    <t>Viability_Metrics</t>
  </si>
  <si>
    <t>Sustainability_Metrics</t>
  </si>
  <si>
    <t>Link to Full Year financials input page</t>
  </si>
  <si>
    <t>Financial_Statements_of_TEI</t>
  </si>
  <si>
    <t>Link to Tables used for calculating FMF scores on Ratios</t>
  </si>
  <si>
    <t>Statement_of_Financial_Performance</t>
  </si>
  <si>
    <t>Statement_of_Financial_Position</t>
  </si>
  <si>
    <t>Statement_of_Cash_Flows</t>
  </si>
  <si>
    <t>Non_Financial_Information</t>
  </si>
  <si>
    <t>Link to FMF Report</t>
  </si>
  <si>
    <t>FMF_Report_Template</t>
  </si>
  <si>
    <t>Calculations Page</t>
  </si>
  <si>
    <t>Calculations_EFTS_Entry</t>
  </si>
  <si>
    <t>Quick Steps to using</t>
  </si>
  <si>
    <t>Enter columns of financial data into the Financials tab</t>
  </si>
  <si>
    <t>These cells are information only to assist the reader in knowing the information being presented</t>
  </si>
  <si>
    <t>Update information at the top of the report page for TEI</t>
  </si>
  <si>
    <t>Instructions on using the FMF report</t>
  </si>
  <si>
    <t>The report page pulls through Viability and Sustainability calculations and FMF scores from the calculations page</t>
  </si>
  <si>
    <t>FMF_Instructions_and_Notes</t>
  </si>
  <si>
    <t>The financial data entered in columns E-M should flow through to the calculations page</t>
  </si>
  <si>
    <t>Updating the Financials tab</t>
  </si>
  <si>
    <t>The report page pulls through key information from the calculations page using Hlookup formulas</t>
  </si>
  <si>
    <t>The report page contains graphs which update from the viability and sustainability totals</t>
  </si>
  <si>
    <t>Updating the Calculations tab</t>
  </si>
  <si>
    <t>Recent updates include:</t>
  </si>
  <si>
    <t>Quick_steps_to_using_spreadsheet</t>
  </si>
  <si>
    <t>Updating_the_Calculations_page</t>
  </si>
  <si>
    <t>Updating_the_Calculations_tab</t>
  </si>
  <si>
    <t>Updating_the_Financials_tab</t>
  </si>
  <si>
    <t>Version Information</t>
  </si>
  <si>
    <t>Version_Information</t>
  </si>
  <si>
    <t>Update non-financial data required in calculations page</t>
  </si>
  <si>
    <t>How_the_spreadsheet_works</t>
  </si>
  <si>
    <t>How the spreadsheet works</t>
  </si>
  <si>
    <t>Columns E to M in the 'financials' tab can be edited.  Leave any unused columns blank</t>
  </si>
  <si>
    <t>Note: Double check that the column of data pasted aligns to the legends on the left</t>
  </si>
  <si>
    <t>Updating_FMF_report</t>
  </si>
  <si>
    <t>Scoring for: Net cash flow from operations</t>
  </si>
  <si>
    <t>Net Cash flow from operations</t>
  </si>
  <si>
    <t>The purpose of this spreadsheet is to calculate Viability and Sustainability scores for Tertiary Education Institutes (TEIs) and should be read alongside the Financial Monitoring Framework webpage found at www.tec.govt.nz</t>
  </si>
  <si>
    <t>9% or more</t>
  </si>
  <si>
    <t>8% or more</t>
  </si>
  <si>
    <t>3.0x or more (or no interest costs)</t>
  </si>
  <si>
    <t>1.5x or more</t>
  </si>
  <si>
    <t>7.5% or less</t>
  </si>
  <si>
    <t>97% or more</t>
  </si>
  <si>
    <t>4.5% or more</t>
  </si>
  <si>
    <t>200% or less</t>
  </si>
  <si>
    <t>Reforecast</t>
  </si>
  <si>
    <t>Version</t>
  </si>
  <si>
    <t>Received</t>
  </si>
  <si>
    <t>Updated</t>
  </si>
  <si>
    <r>
      <t xml:space="preserve">Sustainability </t>
    </r>
    <r>
      <rPr>
        <b/>
        <vertAlign val="superscript"/>
        <sz val="10.8"/>
        <rFont val="Arial"/>
        <family val="2"/>
      </rPr>
      <t>2</t>
    </r>
  </si>
  <si>
    <r>
      <t xml:space="preserve">FMF Score (3 +) </t>
    </r>
    <r>
      <rPr>
        <b/>
        <vertAlign val="superscript"/>
        <sz val="10.8"/>
        <rFont val="Arial"/>
        <family val="2"/>
      </rPr>
      <t>3</t>
    </r>
  </si>
  <si>
    <r>
      <rPr>
        <vertAlign val="superscript"/>
        <sz val="9.9"/>
        <rFont val="Arial"/>
        <family val="2"/>
      </rPr>
      <t>2.</t>
    </r>
    <r>
      <rPr>
        <sz val="11"/>
        <rFont val="Arial"/>
        <family val="2"/>
      </rPr>
      <t xml:space="preserve">   Refer to the Financial Monitoring Framework table of measures for definitions of the measures used and the related risk assessment scores.</t>
    </r>
  </si>
  <si>
    <r>
      <rPr>
        <vertAlign val="superscript"/>
        <sz val="9.9"/>
        <rFont val="Arial"/>
        <family val="2"/>
      </rPr>
      <t>3.</t>
    </r>
    <r>
      <rPr>
        <sz val="11"/>
        <rFont val="Arial"/>
        <family val="2"/>
      </rPr>
      <t xml:space="preserve">   The ratio value that is required to score 3 or more.  An average of 3 or more is necessary for an overall rating of low risk </t>
    </r>
  </si>
  <si>
    <r>
      <t xml:space="preserve">Viability </t>
    </r>
    <r>
      <rPr>
        <b/>
        <vertAlign val="superscript"/>
        <sz val="10.8"/>
        <rFont val="Arial"/>
        <family val="2"/>
      </rPr>
      <t>2</t>
    </r>
  </si>
  <si>
    <r>
      <t xml:space="preserve">Key Information </t>
    </r>
    <r>
      <rPr>
        <b/>
        <vertAlign val="superscript"/>
        <sz val="10.8"/>
        <rFont val="Arial"/>
        <family val="2"/>
      </rPr>
      <t>1</t>
    </r>
  </si>
  <si>
    <r>
      <rPr>
        <vertAlign val="superscript"/>
        <sz val="9.9"/>
        <rFont val="Arial"/>
        <family val="2"/>
      </rPr>
      <t>1.</t>
    </r>
    <r>
      <rPr>
        <sz val="11"/>
        <rFont val="Arial"/>
        <family val="2"/>
      </rPr>
      <t xml:space="preserve">   The key information is as supplied in the TEI Financial Monitoring templates to the TEC</t>
    </r>
  </si>
  <si>
    <t>EFTS per plan letters (Info only)</t>
  </si>
  <si>
    <t>EFTS delivered per SDR (Info only)</t>
  </si>
  <si>
    <t>Allocated funding for EFTS per Plan letters ($000's)</t>
  </si>
  <si>
    <t>Actual services provided per SDR ($000's)</t>
  </si>
  <si>
    <t>EFTS Delivery - Calculated on number of EFTS</t>
  </si>
  <si>
    <t>EFTS Delivery - Calculated on funding value of EFTS</t>
  </si>
  <si>
    <t>Average net surplus before abnormals (1 year ago)</t>
  </si>
  <si>
    <t>Average net surplus before abnormals (2 years ago)</t>
  </si>
  <si>
    <t>3-Year average Net Surplus</t>
  </si>
  <si>
    <t>Return on Fixed Assets (1 year ago)</t>
  </si>
  <si>
    <t>Return on Fixed Assets (2 years ago)</t>
  </si>
  <si>
    <t>3-Year average Viability</t>
  </si>
  <si>
    <t>Viability from 1 year ago</t>
  </si>
  <si>
    <t>Viability from 2 years ago</t>
  </si>
  <si>
    <t>3-Year Average Viability</t>
  </si>
  <si>
    <t>Future Viability view %: Historical year  +1</t>
  </si>
  <si>
    <t>Future Viability view %: Historical year  +2</t>
  </si>
  <si>
    <t>Future Viability Calculation</t>
  </si>
  <si>
    <t>3-year average viability</t>
  </si>
  <si>
    <t>3-year average return on fixed assets employed</t>
  </si>
  <si>
    <t>3-Year average viability</t>
  </si>
  <si>
    <t>Historical</t>
  </si>
  <si>
    <t>Viability - Historical View</t>
  </si>
  <si>
    <t>Sustainability - Historical View</t>
  </si>
  <si>
    <t>Not Applicable</t>
  </si>
  <si>
    <t>Future Sustainability view %: Last year</t>
  </si>
  <si>
    <t>Future Sustainability view %: Year Last -1</t>
  </si>
  <si>
    <t>3%  or more</t>
  </si>
  <si>
    <t>111% or more</t>
  </si>
  <si>
    <t>3-Year ave return on property, plant and equipment</t>
  </si>
  <si>
    <t>(1st of 2 yrs)</t>
  </si>
  <si>
    <t>(2nd of 2 yrs)</t>
  </si>
  <si>
    <t>3 or more</t>
  </si>
  <si>
    <t>Future FMF risk rating:</t>
  </si>
  <si>
    <t>Overall FMF risk rating:</t>
  </si>
  <si>
    <t xml:space="preserve">     TEC confidence in forecasts</t>
  </si>
  <si>
    <t>Latest Year End</t>
  </si>
  <si>
    <t>Note: It does not matter if data is pasted as values or copied directly all calculations required occur in the Calculations tab</t>
  </si>
  <si>
    <t>Note: If more than one type of data exists for a year (e.g. budget &amp; forecast) then the data on the column to the left will be used</t>
  </si>
  <si>
    <t>Note: the model has an inbuilt assumption that financial data will exist for the six years required (3 years of historical data and 3 years of forecasts).  Missing a year of data will result in incorrect calculations</t>
  </si>
  <si>
    <t>Note: the Viability graph of historical and future views shows 5 years of historical financials</t>
  </si>
  <si>
    <t>Note: The financials tab maintains the same row structure as the TEI FM reporting for actual results, council budgets and 3-year projections spreadsheets, so data in this structure can be copied directly into this template.</t>
  </si>
  <si>
    <t>The FMF framework has historical year as the most recent audited financial results</t>
  </si>
  <si>
    <t>The Viability forecast view now has a 67% weighting on the first forecast year (either a council budget or updated forecast) and 33% on the second forecast year</t>
  </si>
  <si>
    <t>Financial data in the TEI FM format are entered for multiple financial years into the 'Financials' worksheet</t>
  </si>
  <si>
    <t>Additional non financial data are entered into the 'Calculations' page</t>
  </si>
  <si>
    <t>The calculations page pulls through the data necessary from the financials page to determine the measures</t>
  </si>
  <si>
    <t>The calculations page calculates the value of the measures that make up the FMF</t>
  </si>
  <si>
    <t>The calculations page refers to the 'Measures Scoring' page to determine the FMF score for each ratio</t>
  </si>
  <si>
    <t>Update if a long term cash advance facility exists (where such a facility exists, overdrafts are treated as if they were term debt for the purposes of ratio calculations)</t>
  </si>
  <si>
    <t>Update if actual/forecast EFTS data are available for the year in question</t>
  </si>
  <si>
    <t>Note: sometimes it is necessary to unselect 'merge cells' to copy a column of data.</t>
  </si>
  <si>
    <t>The tables and graphs will update automatically.  Print report page</t>
  </si>
  <si>
    <t>The FMF historical, future and overall risk assessment is calculated based on the financials entered</t>
  </si>
  <si>
    <t>Copy an entire column (or columns) of data into the "financials" tab for historical and future years</t>
  </si>
  <si>
    <t>Return on Fixed Assets (last Audited year)</t>
  </si>
  <si>
    <t>Average net surplus before abnormals (last audited year)</t>
  </si>
  <si>
    <t>Historical year viability</t>
  </si>
  <si>
    <t>The Sustainability forecast view now as a 20% weighting on the second forecast year and an 80% weighting on the third (final) forecast year</t>
  </si>
  <si>
    <t>Three-Year Projections</t>
  </si>
  <si>
    <t>Core earn &lt;7%</t>
  </si>
  <si>
    <t>Core earn 7% - 10%</t>
  </si>
  <si>
    <t>Example Entity</t>
  </si>
  <si>
    <t>$000s</t>
  </si>
  <si>
    <t>Institute of Hypothetical Results</t>
  </si>
  <si>
    <t>EFTS Related TEC Funding</t>
  </si>
  <si>
    <t>Other On Plan TEC Funding</t>
  </si>
  <si>
    <t>as % of Total Income</t>
  </si>
  <si>
    <t>TEC funded research capability and initiatives excluding PBRF</t>
  </si>
  <si>
    <t>Off Plan funding from TEC (excluding research)</t>
  </si>
  <si>
    <t>Expenditure</t>
  </si>
  <si>
    <t>as % of Total Expenditure</t>
  </si>
  <si>
    <t>Finance Costs</t>
  </si>
  <si>
    <t>Total Other Expenses</t>
  </si>
  <si>
    <t>Total Expenditure</t>
  </si>
  <si>
    <t>Net Surplus/(Deficit)</t>
  </si>
  <si>
    <t xml:space="preserve">     Surplus / (Deficit) before abnormals to total revenue</t>
  </si>
  <si>
    <t xml:space="preserve">    Net  Surplus / (Deficit) to total revenue</t>
  </si>
  <si>
    <t>Note:  *  Please separately identify and provide details (eg description, amount)                       A credit is shown as a positive figure</t>
  </si>
  <si>
    <t>TEC EFTS Funding</t>
  </si>
  <si>
    <t>Cash and Cash Equivalents</t>
  </si>
  <si>
    <t>Trust cash, cash equivalents and short-term investments</t>
  </si>
  <si>
    <t>Property, Plant and Equipment</t>
  </si>
  <si>
    <t>Total Property Plant and Equipment</t>
  </si>
  <si>
    <t>Current year capital expenditure (accounting/accrual basis)</t>
  </si>
  <si>
    <t>Statement of Changes in Equity</t>
  </si>
  <si>
    <t>Sale of Property, Plant and Equipment</t>
  </si>
  <si>
    <t>Purchase of Property, Plant and Equipment</t>
  </si>
  <si>
    <t>Capital appropriation funding</t>
  </si>
  <si>
    <t>Opening cash and cash equivalents</t>
  </si>
  <si>
    <t>Closing cash and cash equivalents</t>
  </si>
  <si>
    <t>Other short term investments and other readily liquefiable investments</t>
  </si>
  <si>
    <t>2010A</t>
  </si>
  <si>
    <t>Undrawn credit facilities</t>
  </si>
  <si>
    <t>Has the TEI declared that the facilities meet the entry criteria?</t>
  </si>
  <si>
    <t>Does the TEI seek to include undrawn facilities?</t>
  </si>
  <si>
    <t>FMF criteria 2 - net cashflow from operations &gt; 111%</t>
  </si>
  <si>
    <t>Check - amount sought for inclusion = &lt; than undrawn portion of committed credit lines in Financials (row 161)</t>
  </si>
  <si>
    <t>MCO analyst agrees to inclusion</t>
  </si>
  <si>
    <t>FMF criteria 1 - TEI surplus =, &gt; 3%</t>
  </si>
  <si>
    <t>FMF criteria 3 - liquid funds ratio =, &gt; 8%</t>
  </si>
  <si>
    <t>Liquid Funds Ratio inclusive of undrawn credit facility</t>
  </si>
  <si>
    <t>Comments (if any)</t>
  </si>
  <si>
    <t>N/A</t>
  </si>
  <si>
    <t>Updating Report Tab</t>
  </si>
  <si>
    <r>
      <t xml:space="preserve">If </t>
    </r>
    <r>
      <rPr>
        <b/>
        <sz val="11"/>
        <rFont val="Arial"/>
        <family val="2"/>
      </rPr>
      <t>YES</t>
    </r>
    <r>
      <rPr>
        <sz val="11"/>
        <rFont val="Arial"/>
        <family val="2"/>
      </rPr>
      <t xml:space="preserve"> the amount sought for inclusion</t>
    </r>
  </si>
  <si>
    <t>yes</t>
  </si>
  <si>
    <t>Dropdown boxes - Undrawn borrowing facilities</t>
  </si>
  <si>
    <t>This template is version 2.1 (December 2011)</t>
  </si>
  <si>
    <t>V2.0 Amending the scoring table for Operating surplus/deficit (3% is the minimum required for a 3)</t>
  </si>
  <si>
    <t>V2.0 Removing the measure Return on net assets</t>
  </si>
  <si>
    <t>V2.0 Amending the scoring table for Net cashflow from operations (111% is the minimum required for a 3)</t>
  </si>
  <si>
    <t xml:space="preserve">V2.0 Adding the measure 3-year average Viability into Sustainability </t>
  </si>
  <si>
    <t>V2.0 The Sustainability measure return on property, plant and equipment employed becomes a 3-year average</t>
  </si>
  <si>
    <t>V2.0 The Sustainability measure debt servicing uses 3-year average earnings not a single year of earnings</t>
  </si>
  <si>
    <t>V2.0 The EFTS calculation is now based on the SAC value ($) of EFTS not the number of EFTS</t>
  </si>
  <si>
    <t xml:space="preserve">V2.0 A terminology change now refers to the actual financial results as historical not current </t>
  </si>
  <si>
    <t xml:space="preserve">V2.0 The future view for Viability is now 67% on the first year of the future period and 33% on the second </t>
  </si>
  <si>
    <t>V2.0 The future view for Sustainability is now 20% on the second year of the future period and 80% on the third</t>
  </si>
  <si>
    <t>V2.0 The historical and future views are now combined through a weighted calculation based on confidence not the previous matrices</t>
  </si>
  <si>
    <t>V2.0 Amending the interest cover formula for TEIs with no borrowing and poor core earnings</t>
  </si>
  <si>
    <t xml:space="preserve">     V2.1 Inclusion of formulas re Undrawn Borrowing facilities</t>
  </si>
  <si>
    <t>Financial Monitoring Framework (FMF) Version 2.1 - Instructions and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</si>
</sst>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_);_(* \(#,##0\);_(* &quot;-&quot;_);_(@_)"/>
    <numFmt numFmtId="165" formatCode="0.0%"/>
    <numFmt numFmtId="166" formatCode="#,##0_ ;[Red]\-#,##0\ "/>
    <numFmt numFmtId="167" formatCode="#,##0.0"/>
    <numFmt numFmtId="170" formatCode="0.000"/>
    <numFmt numFmtId="171" formatCode="0.0"/>
    <numFmt numFmtId="172" formatCode="&quot;$&quot;#,##0"/>
    <numFmt numFmtId="177" formatCode="mmm\ yy"/>
    <numFmt numFmtId="178" formatCode="dd/mm/yy"/>
    <numFmt numFmtId="180" formatCode="#,##0.0_ ;\-#,##0.0\ "/>
  </numFmts>
  <fonts count="48" x14ac:knownFonts="1">
    <font>
      <sz val="12"/>
      <name val="Arial"/>
    </font>
    <font>
      <sz val="12"/>
      <name val="Arial"/>
    </font>
    <font>
      <b/>
      <sz val="14"/>
      <color indexed="10"/>
      <name val="Times New Roman"/>
      <family val="1"/>
    </font>
    <font>
      <b/>
      <sz val="16"/>
      <color indexed="12"/>
      <name val="Times New Roman"/>
      <family val="1"/>
    </font>
    <font>
      <sz val="14"/>
      <name val="Times New Roman"/>
      <family val="1"/>
    </font>
    <font>
      <b/>
      <sz val="14"/>
      <name val="Times New Roman"/>
      <family val="1"/>
    </font>
    <font>
      <b/>
      <sz val="12"/>
      <name val="Times New Roman"/>
      <family val="1"/>
    </font>
    <font>
      <sz val="10"/>
      <name val="Times New Roman"/>
      <family val="1"/>
    </font>
    <font>
      <b/>
      <i/>
      <sz val="14"/>
      <name val="Times New Roman"/>
      <family val="1"/>
    </font>
    <font>
      <sz val="8"/>
      <name val="Times New Roman"/>
      <family val="1"/>
    </font>
    <font>
      <sz val="12"/>
      <name val="Times New Roman"/>
      <family val="1"/>
    </font>
    <font>
      <sz val="10"/>
      <name val="Times New Roman"/>
      <family val="1"/>
    </font>
    <font>
      <b/>
      <i/>
      <sz val="12"/>
      <name val="Times New Roman"/>
      <family val="1"/>
    </font>
    <font>
      <b/>
      <sz val="10"/>
      <name val="Times New Roman"/>
      <family val="1"/>
    </font>
    <font>
      <i/>
      <sz val="10"/>
      <name val="Times New Roman"/>
      <family val="1"/>
    </font>
    <font>
      <sz val="10"/>
      <color indexed="10"/>
      <name val="Times New Roman"/>
      <family val="1"/>
    </font>
    <font>
      <sz val="12"/>
      <name val="Times New Roman"/>
      <family val="1"/>
    </font>
    <font>
      <b/>
      <i/>
      <sz val="10"/>
      <name val="Times New Roman"/>
      <family val="1"/>
    </font>
    <font>
      <sz val="10"/>
      <name val="Arial"/>
      <family val="2"/>
    </font>
    <font>
      <b/>
      <sz val="10"/>
      <color indexed="12"/>
      <name val="Times New Roman"/>
      <family val="1"/>
    </font>
    <font>
      <b/>
      <sz val="12"/>
      <name val="Arial"/>
      <family val="2"/>
    </font>
    <font>
      <sz val="8"/>
      <name val="Arial"/>
      <family val="2"/>
    </font>
    <font>
      <b/>
      <sz val="10"/>
      <name val="Arial"/>
      <family val="2"/>
    </font>
    <font>
      <b/>
      <i/>
      <sz val="10"/>
      <name val="Arial"/>
      <family val="2"/>
    </font>
    <font>
      <sz val="10"/>
      <name val="Arial"/>
      <family val="2"/>
    </font>
    <font>
      <i/>
      <sz val="10"/>
      <name val="Arial"/>
      <family val="2"/>
    </font>
    <font>
      <sz val="12"/>
      <color indexed="9"/>
      <name val="Arial"/>
      <family val="2"/>
    </font>
    <font>
      <b/>
      <sz val="16"/>
      <color indexed="10"/>
      <name val="Times New Roman"/>
      <family val="1"/>
    </font>
    <font>
      <b/>
      <sz val="14"/>
      <name val="Arial"/>
      <family val="2"/>
    </font>
    <font>
      <sz val="14"/>
      <name val="Arial"/>
      <family val="2"/>
    </font>
    <font>
      <sz val="12"/>
      <name val="Wingdings"/>
      <charset val="2"/>
    </font>
    <font>
      <sz val="12"/>
      <name val="Arial"/>
      <family val="2"/>
    </font>
    <font>
      <sz val="12"/>
      <name val="Arial"/>
      <family val="2"/>
    </font>
    <font>
      <sz val="11"/>
      <name val="Arial"/>
      <family val="2"/>
    </font>
    <font>
      <sz val="10"/>
      <color indexed="17"/>
      <name val="Times New Roman"/>
      <family val="1"/>
    </font>
    <font>
      <b/>
      <sz val="14"/>
      <color indexed="12"/>
      <name val="Times New Roman"/>
      <family val="1"/>
    </font>
    <font>
      <u/>
      <sz val="12"/>
      <color indexed="12"/>
      <name val="Arial"/>
      <family val="2"/>
    </font>
    <font>
      <sz val="16"/>
      <name val="Arial"/>
      <family val="2"/>
    </font>
    <font>
      <i/>
      <sz val="12"/>
      <name val="Arial"/>
      <family val="2"/>
    </font>
    <font>
      <b/>
      <i/>
      <sz val="12"/>
      <name val="Arial"/>
      <family val="2"/>
    </font>
    <font>
      <b/>
      <sz val="8"/>
      <color indexed="81"/>
      <name val="Tahoma"/>
      <family val="2"/>
    </font>
    <font>
      <sz val="8"/>
      <color indexed="81"/>
      <name val="Tahoma"/>
      <family val="2"/>
    </font>
    <font>
      <vertAlign val="superscript"/>
      <sz val="9.9"/>
      <name val="Arial"/>
      <family val="2"/>
    </font>
    <font>
      <b/>
      <vertAlign val="superscript"/>
      <sz val="10.8"/>
      <name val="Arial"/>
      <family val="2"/>
    </font>
    <font>
      <sz val="9"/>
      <name val="Arial"/>
      <family val="2"/>
    </font>
    <font>
      <b/>
      <sz val="9"/>
      <color indexed="81"/>
      <name val="Tahoma"/>
      <family val="2"/>
    </font>
    <font>
      <b/>
      <sz val="11"/>
      <name val="Arial"/>
      <family val="2"/>
    </font>
    <font>
      <sz val="12"/>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62"/>
        <bgColor indexed="64"/>
      </patternFill>
    </fill>
    <fill>
      <patternFill patternType="solid">
        <fgColor indexed="46"/>
        <bgColor indexed="64"/>
      </patternFill>
    </fill>
    <fill>
      <patternFill patternType="solid">
        <fgColor rgb="FFFFFF99"/>
        <bgColor indexed="64"/>
      </patternFill>
    </fill>
  </fills>
  <borders count="29">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cellStyleXfs>
  <cellXfs count="379">
    <xf numFmtId="0" fontId="0" fillId="0" borderId="0" xfId="0"/>
    <xf numFmtId="0" fontId="0" fillId="0" borderId="0" xfId="0" applyProtection="1">
      <protection hidden="1"/>
    </xf>
    <xf numFmtId="0" fontId="2" fillId="0" borderId="0" xfId="0" applyFont="1" applyProtection="1">
      <protection hidden="1"/>
    </xf>
    <xf numFmtId="0" fontId="3"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7" fillId="0" borderId="0" xfId="0" applyFont="1" applyAlignment="1" applyProtection="1">
      <alignment vertical="top"/>
      <protection hidden="1"/>
    </xf>
    <xf numFmtId="0" fontId="8" fillId="0" borderId="0" xfId="0" applyFont="1" applyAlignment="1" applyProtection="1">
      <alignment vertical="top"/>
      <protection hidden="1"/>
    </xf>
    <xf numFmtId="0" fontId="7" fillId="0" borderId="0" xfId="0" applyFont="1" applyFill="1" applyAlignment="1" applyProtection="1">
      <alignment vertical="top"/>
      <protection hidden="1"/>
    </xf>
    <xf numFmtId="0" fontId="6" fillId="0" borderId="0" xfId="0" applyFont="1" applyFill="1" applyAlignment="1" applyProtection="1">
      <alignment vertical="top"/>
      <protection hidden="1"/>
    </xf>
    <xf numFmtId="0" fontId="7"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7" fillId="0" borderId="0" xfId="0" applyFont="1" applyFill="1" applyAlignment="1" applyProtection="1">
      <alignment vertical="top" wrapText="1"/>
      <protection hidden="1"/>
    </xf>
    <xf numFmtId="0" fontId="8" fillId="0" borderId="0" xfId="0" applyFont="1" applyFill="1" applyAlignment="1" applyProtection="1">
      <alignment vertical="top"/>
      <protection hidden="1"/>
    </xf>
    <xf numFmtId="0" fontId="10" fillId="0" borderId="0" xfId="0" applyFont="1" applyFill="1" applyAlignment="1" applyProtection="1">
      <alignment vertical="top"/>
      <protection hidden="1"/>
    </xf>
    <xf numFmtId="0" fontId="11" fillId="0" borderId="0" xfId="0"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0" xfId="0" applyFont="1" applyFill="1" applyAlignment="1" applyProtection="1">
      <alignment vertical="top"/>
      <protection hidden="1"/>
    </xf>
    <xf numFmtId="0" fontId="12" fillId="0" borderId="0" xfId="0" applyFont="1" applyFill="1" applyAlignment="1" applyProtection="1">
      <alignment vertical="top"/>
      <protection hidden="1"/>
    </xf>
    <xf numFmtId="0" fontId="13" fillId="0" borderId="0" xfId="0" applyFont="1" applyFill="1" applyAlignment="1" applyProtection="1">
      <alignment vertical="top"/>
      <protection hidden="1"/>
    </xf>
    <xf numFmtId="0" fontId="14" fillId="0" borderId="0" xfId="0" applyFont="1" applyFill="1" applyAlignment="1" applyProtection="1">
      <alignment vertical="top"/>
      <protection hidden="1"/>
    </xf>
    <xf numFmtId="0" fontId="15" fillId="0" borderId="0" xfId="0" applyFont="1" applyFill="1" applyAlignment="1" applyProtection="1">
      <alignment vertical="top"/>
      <protection hidden="1"/>
    </xf>
    <xf numFmtId="0" fontId="16" fillId="0" borderId="0" xfId="0" applyFont="1" applyFill="1" applyAlignment="1" applyProtection="1">
      <alignment vertical="top"/>
      <protection hidden="1"/>
    </xf>
    <xf numFmtId="0" fontId="17" fillId="0" borderId="0" xfId="0" applyFont="1" applyFill="1" applyAlignment="1" applyProtection="1">
      <alignment vertical="top"/>
      <protection hidden="1"/>
    </xf>
    <xf numFmtId="0" fontId="7" fillId="0" borderId="1" xfId="0" applyFont="1" applyFill="1" applyBorder="1" applyAlignment="1" applyProtection="1">
      <alignment vertical="top"/>
      <protection hidden="1"/>
    </xf>
    <xf numFmtId="0" fontId="20" fillId="0" borderId="0" xfId="0" applyFont="1"/>
    <xf numFmtId="0" fontId="18" fillId="0" borderId="0" xfId="0" applyFont="1" applyAlignment="1">
      <alignment wrapText="1"/>
    </xf>
    <xf numFmtId="0" fontId="18" fillId="0" borderId="0" xfId="0" applyFont="1" applyAlignment="1">
      <alignment horizontal="left" wrapText="1"/>
    </xf>
    <xf numFmtId="165" fontId="0" fillId="0" borderId="0" xfId="4" applyNumberFormat="1" applyFont="1"/>
    <xf numFmtId="0" fontId="18" fillId="0" borderId="0" xfId="0" applyFont="1"/>
    <xf numFmtId="3" fontId="18" fillId="0" borderId="0" xfId="0" applyNumberFormat="1" applyFont="1"/>
    <xf numFmtId="0" fontId="22" fillId="0" borderId="0" xfId="0" applyFont="1"/>
    <xf numFmtId="0" fontId="23" fillId="0" borderId="0" xfId="0" applyFont="1"/>
    <xf numFmtId="43" fontId="0" fillId="0" borderId="0" xfId="1" applyFont="1" applyAlignment="1">
      <alignment horizontal="right"/>
    </xf>
    <xf numFmtId="2" fontId="0" fillId="0" borderId="0" xfId="0" applyNumberFormat="1"/>
    <xf numFmtId="0" fontId="24" fillId="0" borderId="0" xfId="0" applyFont="1"/>
    <xf numFmtId="0" fontId="0" fillId="0" borderId="2" xfId="0" applyBorder="1" applyAlignment="1">
      <alignment horizontal="center"/>
    </xf>
    <xf numFmtId="0" fontId="0" fillId="0" borderId="3" xfId="0" applyBorder="1" applyAlignment="1">
      <alignment horizontal="center"/>
    </xf>
    <xf numFmtId="9" fontId="0" fillId="2" borderId="4" xfId="0" applyNumberFormat="1" applyFill="1" applyBorder="1" applyAlignment="1">
      <alignment horizontal="center"/>
    </xf>
    <xf numFmtId="0" fontId="0" fillId="0" borderId="5" xfId="0" applyBorder="1" applyAlignment="1">
      <alignment horizontal="center"/>
    </xf>
    <xf numFmtId="9" fontId="0" fillId="2" borderId="6" xfId="0" applyNumberFormat="1" applyFill="1" applyBorder="1" applyAlignment="1">
      <alignment horizontal="center"/>
    </xf>
    <xf numFmtId="0" fontId="0" fillId="0" borderId="7" xfId="0" applyBorder="1" applyAlignment="1">
      <alignment horizontal="center"/>
    </xf>
    <xf numFmtId="167" fontId="0" fillId="0" borderId="0" xfId="4" applyNumberFormat="1" applyFont="1"/>
    <xf numFmtId="165" fontId="0" fillId="2" borderId="4" xfId="0" applyNumberFormat="1" applyFill="1" applyBorder="1" applyAlignment="1">
      <alignment horizontal="center"/>
    </xf>
    <xf numFmtId="165" fontId="0" fillId="2" borderId="6" xfId="0" applyNumberFormat="1" applyFill="1" applyBorder="1" applyAlignment="1">
      <alignment horizontal="center"/>
    </xf>
    <xf numFmtId="0" fontId="0" fillId="0" borderId="2" xfId="0" applyBorder="1" applyAlignment="1">
      <alignment horizontal="center" wrapText="1" shrinkToFit="1"/>
    </xf>
    <xf numFmtId="0" fontId="0" fillId="2" borderId="4" xfId="0" applyFill="1" applyBorder="1" applyAlignment="1">
      <alignment horizontal="center" wrapText="1" shrinkToFit="1"/>
    </xf>
    <xf numFmtId="171" fontId="0" fillId="2" borderId="4" xfId="0" applyNumberFormat="1" applyFill="1" applyBorder="1" applyAlignment="1">
      <alignment horizontal="center"/>
    </xf>
    <xf numFmtId="171" fontId="0" fillId="2" borderId="6" xfId="0" applyNumberFormat="1" applyFill="1" applyBorder="1" applyAlignment="1">
      <alignment horizontal="center"/>
    </xf>
    <xf numFmtId="2" fontId="0" fillId="2" borderId="4" xfId="0" applyNumberFormat="1" applyFill="1" applyBorder="1" applyAlignment="1">
      <alignment horizontal="center"/>
    </xf>
    <xf numFmtId="2" fontId="0" fillId="2" borderId="6" xfId="0" applyNumberFormat="1" applyFill="1" applyBorder="1" applyAlignment="1">
      <alignment horizontal="center"/>
    </xf>
    <xf numFmtId="167" fontId="0" fillId="0" borderId="0" xfId="4" applyNumberFormat="1" applyFont="1" applyBorder="1"/>
    <xf numFmtId="167" fontId="20" fillId="0" borderId="8" xfId="4" applyNumberFormat="1" applyFont="1" applyBorder="1"/>
    <xf numFmtId="165" fontId="0" fillId="2" borderId="4" xfId="4" applyNumberFormat="1" applyFont="1" applyFill="1" applyBorder="1" applyAlignment="1">
      <alignment horizontal="center"/>
    </xf>
    <xf numFmtId="165" fontId="0" fillId="2" borderId="6" xfId="4" applyNumberFormat="1" applyFont="1" applyFill="1" applyBorder="1" applyAlignment="1">
      <alignment horizontal="center"/>
    </xf>
    <xf numFmtId="167" fontId="18" fillId="3" borderId="9" xfId="0" applyNumberFormat="1" applyFont="1" applyFill="1" applyBorder="1" applyAlignment="1">
      <alignment horizontal="center"/>
    </xf>
    <xf numFmtId="167" fontId="20" fillId="0" borderId="0" xfId="4" applyNumberFormat="1" applyFont="1" applyBorder="1"/>
    <xf numFmtId="0" fontId="0" fillId="0" borderId="0" xfId="0" applyAlignment="1">
      <alignment horizontal="left" indent="1"/>
    </xf>
    <xf numFmtId="165" fontId="0" fillId="2" borderId="0" xfId="4" applyNumberFormat="1" applyFont="1" applyFill="1" applyBorder="1" applyAlignment="1"/>
    <xf numFmtId="165" fontId="0" fillId="2" borderId="0" xfId="4" applyNumberFormat="1" applyFont="1" applyFill="1" applyBorder="1" applyAlignment="1">
      <alignment horizontal="center"/>
    </xf>
    <xf numFmtId="165" fontId="0" fillId="2" borderId="10" xfId="4" applyNumberFormat="1" applyFont="1" applyFill="1" applyBorder="1" applyAlignment="1">
      <alignment horizontal="center"/>
    </xf>
    <xf numFmtId="0" fontId="25" fillId="0" borderId="0" xfId="0" applyFont="1"/>
    <xf numFmtId="0" fontId="18"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indent="5"/>
    </xf>
    <xf numFmtId="165" fontId="0" fillId="0" borderId="0" xfId="4" applyNumberFormat="1" applyFont="1" applyFill="1" applyBorder="1" applyAlignment="1"/>
    <xf numFmtId="167" fontId="18" fillId="4" borderId="0" xfId="0" applyNumberFormat="1" applyFont="1" applyFill="1" applyAlignment="1">
      <alignment horizontal="center"/>
    </xf>
    <xf numFmtId="0" fontId="0" fillId="2" borderId="4" xfId="0" applyFill="1" applyBorder="1"/>
    <xf numFmtId="0" fontId="0" fillId="2" borderId="6" xfId="0" applyFill="1" applyBorder="1"/>
    <xf numFmtId="0" fontId="26" fillId="0" borderId="0" xfId="0" applyFont="1"/>
    <xf numFmtId="171" fontId="0" fillId="0" borderId="0" xfId="0" applyNumberFormat="1" applyAlignment="1">
      <alignment horizontal="center"/>
    </xf>
    <xf numFmtId="0" fontId="18" fillId="0" borderId="0" xfId="0" applyFont="1" applyAlignment="1">
      <alignment textRotation="90"/>
    </xf>
    <xf numFmtId="0" fontId="0" fillId="0" borderId="0" xfId="0" applyAlignment="1">
      <alignment textRotation="90"/>
    </xf>
    <xf numFmtId="0" fontId="19" fillId="0" borderId="0" xfId="0" applyFont="1" applyFill="1" applyAlignment="1">
      <alignment horizontal="center"/>
    </xf>
    <xf numFmtId="0" fontId="3" fillId="0" borderId="0" xfId="0" applyFont="1" applyFill="1" applyAlignment="1">
      <alignment horizontal="left"/>
    </xf>
    <xf numFmtId="0" fontId="7" fillId="0" borderId="0" xfId="0" applyFont="1" applyFill="1" applyAlignment="1">
      <alignment vertical="top"/>
    </xf>
    <xf numFmtId="1" fontId="0" fillId="0" borderId="0" xfId="0" applyNumberFormat="1"/>
    <xf numFmtId="0" fontId="0" fillId="0" borderId="0" xfId="0" applyFill="1" applyBorder="1" applyAlignment="1">
      <alignment horizontal="center"/>
    </xf>
    <xf numFmtId="2" fontId="0" fillId="0" borderId="0" xfId="0" applyNumberFormat="1" applyAlignment="1">
      <alignment horizontal="center"/>
    </xf>
    <xf numFmtId="167" fontId="0" fillId="0" borderId="0" xfId="0" applyNumberFormat="1"/>
    <xf numFmtId="167" fontId="0" fillId="0" borderId="0" xfId="0" applyNumberFormat="1" applyAlignment="1">
      <alignment horizontal="center"/>
    </xf>
    <xf numFmtId="4" fontId="0" fillId="0" borderId="0" xfId="0" applyNumberFormat="1" applyAlignment="1">
      <alignment horizontal="center"/>
    </xf>
    <xf numFmtId="170" fontId="0" fillId="0" borderId="0" xfId="0" applyNumberFormat="1" applyAlignment="1">
      <alignment horizontal="center"/>
    </xf>
    <xf numFmtId="167" fontId="0" fillId="0" borderId="0" xfId="0" applyNumberFormat="1" applyAlignment="1"/>
    <xf numFmtId="2" fontId="0" fillId="3" borderId="0" xfId="0" applyNumberFormat="1" applyFill="1" applyAlignment="1">
      <alignment horizontal="center"/>
    </xf>
    <xf numFmtId="167" fontId="0" fillId="0" borderId="0" xfId="4" applyNumberFormat="1" applyFont="1" applyAlignment="1">
      <alignment horizontal="right"/>
    </xf>
    <xf numFmtId="171" fontId="0" fillId="0" borderId="0" xfId="0" applyNumberFormat="1" applyAlignment="1">
      <alignment horizontal="right"/>
    </xf>
    <xf numFmtId="3" fontId="7" fillId="0" borderId="11" xfId="0" applyNumberFormat="1" applyFont="1" applyFill="1" applyBorder="1" applyAlignment="1" applyProtection="1">
      <alignment horizontal="center"/>
    </xf>
    <xf numFmtId="2" fontId="0" fillId="0" borderId="0" xfId="0" applyNumberFormat="1" applyAlignment="1">
      <alignment horizontal="right"/>
    </xf>
    <xf numFmtId="3" fontId="21" fillId="0" borderId="0" xfId="0" applyNumberFormat="1" applyFont="1" applyAlignment="1">
      <alignment horizontal="center"/>
    </xf>
    <xf numFmtId="167" fontId="21" fillId="0" borderId="0" xfId="0" applyNumberFormat="1" applyFont="1"/>
    <xf numFmtId="3" fontId="18" fillId="0" borderId="0" xfId="0" applyNumberFormat="1" applyFont="1" applyFill="1" applyBorder="1" applyAlignment="1">
      <alignment horizontal="center"/>
    </xf>
    <xf numFmtId="0" fontId="0" fillId="0" borderId="0" xfId="0" applyAlignment="1">
      <alignment wrapText="1"/>
    </xf>
    <xf numFmtId="170" fontId="0" fillId="0" borderId="0" xfId="0" applyNumberFormat="1"/>
    <xf numFmtId="0" fontId="21" fillId="0" borderId="0" xfId="0" applyFont="1" applyAlignment="1">
      <alignment horizontal="left"/>
    </xf>
    <xf numFmtId="0" fontId="28" fillId="2" borderId="0" xfId="0" applyFont="1" applyFill="1"/>
    <xf numFmtId="2" fontId="18" fillId="0" borderId="0" xfId="0" applyNumberFormat="1" applyFont="1" applyAlignment="1">
      <alignment horizontal="center"/>
    </xf>
    <xf numFmtId="4" fontId="0" fillId="0" borderId="0" xfId="0" applyNumberFormat="1"/>
    <xf numFmtId="0" fontId="0" fillId="0" borderId="12" xfId="0" applyBorder="1"/>
    <xf numFmtId="177" fontId="0" fillId="3" borderId="9" xfId="0" applyNumberFormat="1" applyFill="1" applyBorder="1" applyAlignment="1">
      <alignment horizontal="center"/>
    </xf>
    <xf numFmtId="0" fontId="0" fillId="0" borderId="11" xfId="0" applyBorder="1"/>
    <xf numFmtId="0" fontId="0" fillId="0" borderId="0" xfId="0" applyBorder="1"/>
    <xf numFmtId="0" fontId="0" fillId="5" borderId="13" xfId="0" applyFill="1" applyBorder="1"/>
    <xf numFmtId="0" fontId="0" fillId="5" borderId="14" xfId="0" applyFill="1" applyBorder="1"/>
    <xf numFmtId="0" fontId="0" fillId="5" borderId="15" xfId="0" applyFill="1" applyBorder="1"/>
    <xf numFmtId="0" fontId="0" fillId="0" borderId="0" xfId="0" applyBorder="1" applyAlignment="1">
      <alignment horizontal="center"/>
    </xf>
    <xf numFmtId="0" fontId="27" fillId="0" borderId="0" xfId="0" applyFont="1" applyFill="1" applyAlignment="1">
      <alignment horizontal="left"/>
    </xf>
    <xf numFmtId="0" fontId="7" fillId="0" borderId="0" xfId="0" applyFont="1" applyFill="1" applyAlignment="1" applyProtection="1">
      <protection hidden="1"/>
    </xf>
    <xf numFmtId="0" fontId="13"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Fill="1" applyAlignment="1" applyProtection="1">
      <alignment horizontal="center"/>
      <protection hidden="1"/>
    </xf>
    <xf numFmtId="0" fontId="0" fillId="0" borderId="16" xfId="0" applyBorder="1" applyAlignment="1">
      <alignment horizontal="center"/>
    </xf>
    <xf numFmtId="1" fontId="0" fillId="0" borderId="4" xfId="0" applyNumberFormat="1" applyBorder="1" applyAlignment="1">
      <alignment horizontal="center"/>
    </xf>
    <xf numFmtId="4" fontId="0" fillId="0" borderId="0" xfId="0" applyNumberFormat="1" applyBorder="1" applyAlignment="1">
      <alignment horizontal="center"/>
    </xf>
    <xf numFmtId="4" fontId="0" fillId="0" borderId="5" xfId="0" applyNumberFormat="1" applyBorder="1" applyAlignment="1">
      <alignment horizontal="center"/>
    </xf>
    <xf numFmtId="1" fontId="0" fillId="0" borderId="6" xfId="0" applyNumberFormat="1" applyBorder="1" applyAlignment="1">
      <alignment horizontal="center"/>
    </xf>
    <xf numFmtId="4" fontId="0" fillId="0" borderId="10" xfId="0" applyNumberFormat="1" applyBorder="1" applyAlignment="1">
      <alignment horizontal="center"/>
    </xf>
    <xf numFmtId="4" fontId="0" fillId="0" borderId="7" xfId="0" applyNumberFormat="1" applyBorder="1" applyAlignment="1">
      <alignment horizontal="center"/>
    </xf>
    <xf numFmtId="0" fontId="32" fillId="0" borderId="0" xfId="0" applyFont="1"/>
    <xf numFmtId="0" fontId="0" fillId="0" borderId="2" xfId="0" applyBorder="1" applyAlignment="1"/>
    <xf numFmtId="0" fontId="0" fillId="0" borderId="16" xfId="0" applyBorder="1" applyAlignment="1"/>
    <xf numFmtId="0" fontId="0" fillId="0" borderId="0" xfId="0" quotePrefix="1" applyAlignment="1">
      <alignment horizontal="center"/>
    </xf>
    <xf numFmtId="0" fontId="0" fillId="0" borderId="0" xfId="0" applyAlignment="1">
      <alignment horizontal="left"/>
    </xf>
    <xf numFmtId="171" fontId="0" fillId="0" borderId="0" xfId="0" applyNumberFormat="1"/>
    <xf numFmtId="3" fontId="0" fillId="0" borderId="0" xfId="0" applyNumberFormat="1"/>
    <xf numFmtId="3" fontId="32" fillId="0" borderId="0" xfId="0" applyNumberFormat="1" applyFont="1"/>
    <xf numFmtId="0" fontId="0" fillId="5" borderId="15" xfId="0" applyFill="1" applyBorder="1" applyAlignment="1">
      <alignment shrinkToFit="1"/>
    </xf>
    <xf numFmtId="1" fontId="0" fillId="0" borderId="0" xfId="0" applyNumberFormat="1" applyBorder="1" applyAlignment="1">
      <alignment horizontal="center"/>
    </xf>
    <xf numFmtId="10" fontId="0" fillId="2" borderId="4" xfId="0" applyNumberFormat="1" applyFill="1" applyBorder="1" applyAlignment="1">
      <alignment horizontal="center"/>
    </xf>
    <xf numFmtId="0" fontId="4" fillId="0" borderId="0" xfId="0" applyFont="1" applyFill="1" applyAlignment="1" applyProtection="1">
      <alignment horizontal="center"/>
      <protection hidden="1"/>
    </xf>
    <xf numFmtId="0" fontId="0" fillId="5" borderId="13" xfId="0" applyFill="1" applyBorder="1" applyAlignment="1"/>
    <xf numFmtId="0" fontId="0" fillId="5" borderId="15" xfId="0" applyFill="1" applyBorder="1" applyAlignment="1"/>
    <xf numFmtId="0" fontId="0" fillId="0" borderId="5" xfId="0" applyBorder="1"/>
    <xf numFmtId="0" fontId="0" fillId="5" borderId="14" xfId="0" applyFill="1" applyBorder="1" applyAlignment="1"/>
    <xf numFmtId="0" fontId="31" fillId="0" borderId="0" xfId="0" applyFont="1"/>
    <xf numFmtId="0" fontId="0" fillId="0" borderId="0" xfId="0" applyAlignment="1" applyProtection="1">
      <protection hidden="1"/>
    </xf>
    <xf numFmtId="0" fontId="7" fillId="0" borderId="0" xfId="0" applyFont="1" applyAlignment="1" applyProtection="1">
      <protection hidden="1"/>
    </xf>
    <xf numFmtId="0" fontId="7" fillId="0" borderId="0" xfId="0" applyFont="1" applyFill="1" applyAlignment="1"/>
    <xf numFmtId="0" fontId="7" fillId="0" borderId="0" xfId="0" applyFont="1" applyAlignment="1"/>
    <xf numFmtId="0" fontId="27" fillId="0" borderId="17" xfId="0" applyFont="1" applyFill="1" applyBorder="1" applyAlignment="1"/>
    <xf numFmtId="0" fontId="7" fillId="0" borderId="17" xfId="0" applyFont="1" applyFill="1" applyBorder="1" applyAlignment="1"/>
    <xf numFmtId="0" fontId="34" fillId="0" borderId="0" xfId="0" applyFont="1" applyFill="1" applyAlignment="1" applyProtection="1">
      <protection hidden="1"/>
    </xf>
    <xf numFmtId="0" fontId="4" fillId="0" borderId="0" xfId="0" applyFont="1" applyAlignment="1" applyProtection="1">
      <protection hidden="1"/>
    </xf>
    <xf numFmtId="164" fontId="7" fillId="0" borderId="0" xfId="0" applyNumberFormat="1" applyFont="1" applyAlignment="1"/>
    <xf numFmtId="0" fontId="30" fillId="4" borderId="0" xfId="0" applyFont="1" applyFill="1"/>
    <xf numFmtId="0" fontId="33" fillId="4" borderId="0" xfId="0" applyFont="1" applyFill="1"/>
    <xf numFmtId="0" fontId="0" fillId="4" borderId="0" xfId="0" applyFill="1"/>
    <xf numFmtId="0" fontId="31" fillId="4" borderId="0" xfId="0" applyFont="1" applyFill="1"/>
    <xf numFmtId="0" fontId="0" fillId="6" borderId="0" xfId="0" applyFill="1"/>
    <xf numFmtId="0" fontId="38" fillId="0" borderId="0" xfId="0" applyFont="1"/>
    <xf numFmtId="0" fontId="28" fillId="6" borderId="0" xfId="0" applyFont="1" applyFill="1"/>
    <xf numFmtId="0" fontId="20" fillId="0" borderId="0" xfId="0" applyFont="1" applyFill="1" applyBorder="1"/>
    <xf numFmtId="0" fontId="39" fillId="0" borderId="0" xfId="0" applyFont="1"/>
    <xf numFmtId="0" fontId="28" fillId="7" borderId="0" xfId="0" applyFont="1" applyFill="1"/>
    <xf numFmtId="3" fontId="21" fillId="0" borderId="0" xfId="0" applyNumberFormat="1" applyFont="1" applyAlignment="1">
      <alignment horizontal="left"/>
    </xf>
    <xf numFmtId="167" fontId="18" fillId="4" borderId="0" xfId="0" applyNumberFormat="1" applyFont="1" applyFill="1"/>
    <xf numFmtId="0" fontId="31" fillId="0" borderId="0" xfId="0" applyFont="1" applyAlignment="1">
      <alignment wrapText="1"/>
    </xf>
    <xf numFmtId="0" fontId="0" fillId="0" borderId="2" xfId="0" applyBorder="1"/>
    <xf numFmtId="0" fontId="0" fillId="0" borderId="16" xfId="0" applyBorder="1"/>
    <xf numFmtId="0" fontId="0" fillId="0" borderId="3" xfId="0" applyBorder="1"/>
    <xf numFmtId="0" fontId="0" fillId="0" borderId="4" xfId="0" applyBorder="1"/>
    <xf numFmtId="0" fontId="20" fillId="0" borderId="0" xfId="0" applyFont="1" applyBorder="1"/>
    <xf numFmtId="0" fontId="36" fillId="0" borderId="0" xfId="2" applyBorder="1" applyAlignment="1" applyProtection="1"/>
    <xf numFmtId="0" fontId="0" fillId="0" borderId="6" xfId="0" applyBorder="1"/>
    <xf numFmtId="0" fontId="0" fillId="0" borderId="10" xfId="0" applyBorder="1"/>
    <xf numFmtId="0" fontId="0" fillId="0" borderId="7" xfId="0" applyBorder="1"/>
    <xf numFmtId="0" fontId="30" fillId="0" borderId="0" xfId="0" applyFont="1" applyAlignment="1">
      <alignment horizontal="center" vertical="top"/>
    </xf>
    <xf numFmtId="0" fontId="36" fillId="0" borderId="0" xfId="2" applyAlignment="1" applyProtection="1"/>
    <xf numFmtId="0" fontId="0" fillId="3" borderId="9" xfId="0" applyFill="1" applyBorder="1" applyAlignment="1" applyProtection="1">
      <protection hidden="1"/>
    </xf>
    <xf numFmtId="178" fontId="0" fillId="3" borderId="9" xfId="0" applyNumberFormat="1" applyFill="1" applyBorder="1" applyAlignment="1" applyProtection="1">
      <alignment horizontal="center"/>
      <protection hidden="1"/>
    </xf>
    <xf numFmtId="0" fontId="0" fillId="0" borderId="0" xfId="0" applyProtection="1">
      <protection locked="0"/>
    </xf>
    <xf numFmtId="0" fontId="0" fillId="0" borderId="0" xfId="0" applyAlignment="1" applyProtection="1">
      <alignment horizontal="center"/>
      <protection locked="0"/>
    </xf>
    <xf numFmtId="171" fontId="0" fillId="0" borderId="0" xfId="0" applyNumberFormat="1" applyAlignment="1" applyProtection="1">
      <alignment horizontal="center"/>
      <protection locked="0"/>
    </xf>
    <xf numFmtId="2" fontId="0" fillId="0" borderId="0" xfId="0" applyNumberFormat="1" applyAlignment="1" applyProtection="1">
      <alignment horizontal="center"/>
      <protection locked="0"/>
    </xf>
    <xf numFmtId="0" fontId="1" fillId="0" borderId="0" xfId="0" applyFont="1" applyProtection="1">
      <protection locked="0"/>
    </xf>
    <xf numFmtId="0" fontId="29" fillId="0" borderId="0" xfId="0" applyFont="1" applyProtection="1">
      <protection locked="0"/>
    </xf>
    <xf numFmtId="0" fontId="31" fillId="0" borderId="0" xfId="0" applyFont="1" applyProtection="1">
      <protection locked="0"/>
    </xf>
    <xf numFmtId="9" fontId="31" fillId="0" borderId="0" xfId="0" applyNumberFormat="1" applyFont="1" applyProtection="1">
      <protection locked="0"/>
    </xf>
    <xf numFmtId="1" fontId="0" fillId="3" borderId="9" xfId="0" applyNumberFormat="1" applyFill="1" applyBorder="1" applyAlignment="1" applyProtection="1">
      <alignment horizontal="center"/>
      <protection hidden="1"/>
    </xf>
    <xf numFmtId="0" fontId="0" fillId="3" borderId="9" xfId="0" applyFill="1" applyBorder="1" applyAlignment="1" applyProtection="1">
      <alignment horizontal="center"/>
      <protection hidden="1"/>
    </xf>
    <xf numFmtId="0" fontId="0" fillId="0" borderId="0" xfId="0" applyAlignment="1" applyProtection="1">
      <alignment horizontal="left" indent="2"/>
      <protection hidden="1"/>
    </xf>
    <xf numFmtId="0" fontId="0" fillId="3" borderId="9" xfId="0" applyFill="1" applyBorder="1" applyAlignment="1" applyProtection="1">
      <alignment shrinkToFit="1"/>
      <protection hidden="1"/>
    </xf>
    <xf numFmtId="0" fontId="24" fillId="8" borderId="18" xfId="0" applyFont="1" applyFill="1" applyBorder="1" applyProtection="1">
      <protection hidden="1"/>
    </xf>
    <xf numFmtId="0" fontId="32" fillId="8" borderId="19" xfId="0" applyFont="1" applyFill="1" applyBorder="1" applyProtection="1">
      <protection hidden="1"/>
    </xf>
    <xf numFmtId="0" fontId="32" fillId="8" borderId="18" xfId="0" applyFont="1" applyFill="1" applyBorder="1" applyAlignment="1" applyProtection="1">
      <alignment horizontal="center"/>
      <protection hidden="1"/>
    </xf>
    <xf numFmtId="0" fontId="32" fillId="8" borderId="9" xfId="0" applyFont="1" applyFill="1" applyBorder="1" applyAlignment="1" applyProtection="1">
      <alignment horizontal="center"/>
      <protection hidden="1"/>
    </xf>
    <xf numFmtId="1" fontId="32" fillId="8" borderId="9" xfId="0" applyNumberFormat="1" applyFont="1" applyFill="1" applyBorder="1" applyAlignment="1" applyProtection="1">
      <alignment horizontal="center"/>
      <protection hidden="1"/>
    </xf>
    <xf numFmtId="1" fontId="32" fillId="8" borderId="20" xfId="0" applyNumberFormat="1" applyFont="1" applyFill="1" applyBorder="1" applyAlignment="1" applyProtection="1">
      <alignment horizontal="center"/>
      <protection hidden="1"/>
    </xf>
    <xf numFmtId="16" fontId="20" fillId="0" borderId="0" xfId="0" quotePrefix="1" applyNumberFormat="1" applyFont="1" applyBorder="1" applyAlignment="1" applyProtection="1">
      <alignment horizontal="center"/>
      <protection hidden="1"/>
    </xf>
    <xf numFmtId="171" fontId="20" fillId="0" borderId="0" xfId="0" applyNumberFormat="1" applyFont="1" applyBorder="1" applyAlignment="1" applyProtection="1">
      <alignment horizontal="center"/>
      <protection hidden="1"/>
    </xf>
    <xf numFmtId="171" fontId="0" fillId="0" borderId="12" xfId="0" applyNumberFormat="1" applyBorder="1" applyProtection="1"/>
    <xf numFmtId="171" fontId="0" fillId="0" borderId="0" xfId="0" applyNumberFormat="1" applyBorder="1" applyProtection="1"/>
    <xf numFmtId="171" fontId="0" fillId="0" borderId="21" xfId="0" applyNumberFormat="1" applyBorder="1" applyProtection="1"/>
    <xf numFmtId="171" fontId="0" fillId="0" borderId="1" xfId="0" applyNumberFormat="1" applyBorder="1" applyProtection="1"/>
    <xf numFmtId="0" fontId="0" fillId="0" borderId="0" xfId="0" applyProtection="1"/>
    <xf numFmtId="171" fontId="0" fillId="0" borderId="12" xfId="0" applyNumberFormat="1" applyBorder="1" applyAlignment="1" applyProtection="1">
      <alignment vertical="center"/>
    </xf>
    <xf numFmtId="16" fontId="20" fillId="0" borderId="18" xfId="0" quotePrefix="1" applyNumberFormat="1" applyFont="1" applyBorder="1" applyAlignment="1" applyProtection="1"/>
    <xf numFmtId="16" fontId="20" fillId="0" borderId="19" xfId="0" quotePrefix="1" applyNumberFormat="1" applyFont="1" applyBorder="1" applyAlignment="1" applyProtection="1">
      <alignment horizontal="center"/>
    </xf>
    <xf numFmtId="0" fontId="0" fillId="0" borderId="12" xfId="0" applyBorder="1" applyProtection="1"/>
    <xf numFmtId="0" fontId="0" fillId="0" borderId="0" xfId="0" applyBorder="1" applyProtection="1"/>
    <xf numFmtId="0" fontId="31" fillId="0" borderId="2" xfId="0" applyFont="1" applyBorder="1" applyAlignment="1">
      <alignment horizontal="center" wrapText="1" shrinkToFit="1"/>
    </xf>
    <xf numFmtId="0" fontId="19" fillId="0" borderId="0" xfId="0" applyFont="1" applyFill="1" applyAlignment="1" applyProtection="1">
      <alignment horizontal="center"/>
      <protection hidden="1"/>
    </xf>
    <xf numFmtId="0" fontId="35" fillId="0" borderId="0" xfId="0" applyFont="1" applyFill="1" applyAlignment="1" applyProtection="1">
      <alignment horizontal="center"/>
      <protection hidden="1"/>
    </xf>
    <xf numFmtId="167" fontId="0" fillId="0" borderId="22" xfId="0" applyNumberFormat="1" applyBorder="1" applyAlignment="1" applyProtection="1">
      <alignment horizontal="center"/>
      <protection hidden="1"/>
    </xf>
    <xf numFmtId="3" fontId="0" fillId="0" borderId="22" xfId="0" applyNumberFormat="1" applyBorder="1" applyAlignment="1" applyProtection="1">
      <alignment horizontal="center"/>
      <protection hidden="1"/>
    </xf>
    <xf numFmtId="3" fontId="0" fillId="0" borderId="23" xfId="0" applyNumberFormat="1" applyBorder="1" applyAlignment="1" applyProtection="1">
      <alignment horizontal="center"/>
      <protection hidden="1"/>
    </xf>
    <xf numFmtId="171" fontId="0" fillId="0" borderId="12" xfId="0" applyNumberFormat="1" applyBorder="1" applyAlignment="1" applyProtection="1">
      <alignment horizontal="center"/>
      <protection hidden="1"/>
    </xf>
    <xf numFmtId="171" fontId="0" fillId="0" borderId="22" xfId="0" applyNumberFormat="1" applyBorder="1" applyAlignment="1" applyProtection="1">
      <alignment horizontal="center"/>
      <protection hidden="1"/>
    </xf>
    <xf numFmtId="165" fontId="0" fillId="0" borderId="22" xfId="4" applyNumberFormat="1" applyFont="1" applyBorder="1" applyAlignment="1" applyProtection="1">
      <alignment horizontal="center"/>
      <protection hidden="1"/>
    </xf>
    <xf numFmtId="171" fontId="0" fillId="0" borderId="12" xfId="0" applyNumberFormat="1" applyBorder="1" applyAlignment="1" applyProtection="1">
      <alignment horizontal="center" vertical="center"/>
      <protection hidden="1"/>
    </xf>
    <xf numFmtId="171" fontId="0" fillId="0" borderId="22" xfId="0" applyNumberFormat="1" applyBorder="1" applyAlignment="1" applyProtection="1">
      <alignment horizontal="center" vertical="center"/>
      <protection hidden="1"/>
    </xf>
    <xf numFmtId="180" fontId="0" fillId="0" borderId="22" xfId="1" applyNumberFormat="1" applyFont="1" applyBorder="1" applyAlignment="1" applyProtection="1">
      <alignment horizontal="center" vertical="center" wrapText="1"/>
      <protection hidden="1"/>
    </xf>
    <xf numFmtId="180" fontId="0" fillId="0" borderId="22" xfId="0" applyNumberFormat="1" applyBorder="1" applyAlignment="1" applyProtection="1">
      <alignment horizontal="center"/>
      <protection hidden="1"/>
    </xf>
    <xf numFmtId="171" fontId="20" fillId="0" borderId="9" xfId="0" applyNumberFormat="1" applyFont="1" applyBorder="1" applyAlignment="1" applyProtection="1">
      <alignment horizontal="center"/>
      <protection hidden="1"/>
    </xf>
    <xf numFmtId="0" fontId="0" fillId="0" borderId="12" xfId="0" applyBorder="1" applyProtection="1">
      <protection hidden="1"/>
    </xf>
    <xf numFmtId="0" fontId="0" fillId="0" borderId="22" xfId="0" applyBorder="1" applyProtection="1">
      <protection hidden="1"/>
    </xf>
    <xf numFmtId="165" fontId="0" fillId="0" borderId="22" xfId="4" applyNumberFormat="1" applyFont="1" applyBorder="1" applyAlignment="1" applyProtection="1">
      <alignment horizontal="center" shrinkToFit="1"/>
      <protection hidden="1"/>
    </xf>
    <xf numFmtId="171" fontId="0" fillId="0" borderId="21" xfId="0" applyNumberFormat="1" applyBorder="1" applyAlignment="1" applyProtection="1">
      <alignment horizontal="center"/>
      <protection hidden="1"/>
    </xf>
    <xf numFmtId="16" fontId="20" fillId="0" borderId="1" xfId="0" quotePrefix="1" applyNumberFormat="1" applyFont="1" applyBorder="1" applyAlignment="1" applyProtection="1">
      <alignment horizontal="center"/>
    </xf>
    <xf numFmtId="171" fontId="0" fillId="0" borderId="22" xfId="4" applyNumberFormat="1" applyFont="1" applyBorder="1" applyAlignment="1" applyProtection="1">
      <alignment horizontal="center"/>
      <protection hidden="1"/>
    </xf>
    <xf numFmtId="0" fontId="0" fillId="0" borderId="12" xfId="0" applyBorder="1" applyProtection="1">
      <protection locked="0"/>
    </xf>
    <xf numFmtId="0" fontId="20" fillId="0" borderId="12" xfId="0" applyFont="1" applyBorder="1" applyProtection="1">
      <protection locked="0"/>
    </xf>
    <xf numFmtId="0" fontId="1" fillId="0" borderId="12" xfId="0" applyFont="1" applyBorder="1" applyProtection="1">
      <protection locked="0"/>
    </xf>
    <xf numFmtId="0" fontId="30" fillId="0" borderId="12" xfId="0" applyFont="1" applyBorder="1" applyProtection="1">
      <protection locked="0"/>
    </xf>
    <xf numFmtId="0" fontId="30" fillId="0" borderId="21" xfId="0" applyFont="1" applyBorder="1" applyProtection="1">
      <protection locked="0"/>
    </xf>
    <xf numFmtId="0" fontId="28" fillId="0" borderId="24" xfId="0" applyFont="1" applyBorder="1" applyProtection="1">
      <protection hidden="1"/>
    </xf>
    <xf numFmtId="0" fontId="20" fillId="0" borderId="11" xfId="0" applyFont="1" applyBorder="1" applyProtection="1">
      <protection hidden="1"/>
    </xf>
    <xf numFmtId="0" fontId="0" fillId="0" borderId="11" xfId="0" applyBorder="1" applyProtection="1">
      <protection hidden="1"/>
    </xf>
    <xf numFmtId="0" fontId="0" fillId="0" borderId="25" xfId="0" applyBorder="1"/>
    <xf numFmtId="0" fontId="0" fillId="0" borderId="26" xfId="0" applyBorder="1"/>
    <xf numFmtId="0" fontId="0" fillId="0" borderId="27" xfId="0" applyBorder="1"/>
    <xf numFmtId="0" fontId="31" fillId="0" borderId="1" xfId="0" applyFont="1" applyBorder="1" applyProtection="1">
      <protection locked="0"/>
    </xf>
    <xf numFmtId="0" fontId="0" fillId="0" borderId="1" xfId="0" applyBorder="1" applyProtection="1">
      <protection locked="0"/>
    </xf>
    <xf numFmtId="0" fontId="0" fillId="0" borderId="1" xfId="0" applyBorder="1"/>
    <xf numFmtId="16" fontId="33" fillId="0" borderId="12" xfId="0" applyNumberFormat="1" applyFont="1" applyBorder="1" applyAlignment="1" applyProtection="1">
      <protection hidden="1"/>
    </xf>
    <xf numFmtId="0" fontId="20" fillId="2" borderId="18" xfId="0" applyFont="1" applyFill="1" applyBorder="1" applyAlignment="1" applyProtection="1">
      <alignment vertical="center"/>
    </xf>
    <xf numFmtId="0" fontId="20" fillId="2" borderId="19" xfId="0" applyFont="1" applyFill="1" applyBorder="1" applyAlignment="1" applyProtection="1">
      <alignment horizontal="center" vertical="center"/>
    </xf>
    <xf numFmtId="1" fontId="20" fillId="2" borderId="9" xfId="0" applyNumberFormat="1" applyFont="1" applyFill="1" applyBorder="1" applyAlignment="1" applyProtection="1">
      <alignment horizontal="center" vertical="center"/>
      <protection hidden="1"/>
    </xf>
    <xf numFmtId="0" fontId="20" fillId="2" borderId="18"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3" fillId="0" borderId="11" xfId="0" applyFont="1" applyBorder="1" applyAlignment="1" applyProtection="1">
      <alignment horizontal="center" vertical="center"/>
    </xf>
    <xf numFmtId="0" fontId="19" fillId="0" borderId="0" xfId="0" applyFont="1" applyFill="1" applyBorder="1" applyAlignment="1" applyProtection="1">
      <alignment horizontal="center"/>
    </xf>
    <xf numFmtId="0" fontId="19" fillId="0" borderId="0" xfId="0" applyFont="1" applyBorder="1" applyAlignment="1" applyProtection="1">
      <alignment horizontal="center" vertical="center"/>
    </xf>
    <xf numFmtId="0" fontId="19" fillId="0" borderId="1" xfId="0" quotePrefix="1" applyFont="1" applyBorder="1" applyAlignment="1" applyProtection="1">
      <alignment horizontal="center"/>
    </xf>
    <xf numFmtId="3" fontId="7" fillId="0" borderId="0" xfId="0" applyNumberFormat="1" applyFont="1" applyFill="1" applyAlignment="1" applyProtection="1">
      <alignment horizontal="center"/>
    </xf>
    <xf numFmtId="165" fontId="7" fillId="0" borderId="0" xfId="4" applyNumberFormat="1" applyFont="1" applyFill="1" applyBorder="1" applyAlignment="1" applyProtection="1">
      <alignment horizontal="center"/>
    </xf>
    <xf numFmtId="166" fontId="7" fillId="0" borderId="0" xfId="0" applyNumberFormat="1" applyFont="1" applyFill="1" applyBorder="1" applyAlignment="1" applyProtection="1">
      <alignment horizontal="center"/>
    </xf>
    <xf numFmtId="3" fontId="13" fillId="0" borderId="0" xfId="0" applyNumberFormat="1" applyFont="1" applyFill="1" applyBorder="1" applyAlignment="1" applyProtection="1">
      <alignment horizontal="center"/>
    </xf>
    <xf numFmtId="165" fontId="7" fillId="0" borderId="1" xfId="4" applyNumberFormat="1" applyFont="1" applyFill="1" applyBorder="1" applyAlignment="1" applyProtection="1">
      <alignment horizontal="center"/>
    </xf>
    <xf numFmtId="3" fontId="13" fillId="0" borderId="8" xfId="0" applyNumberFormat="1" applyFont="1" applyFill="1" applyBorder="1" applyAlignment="1" applyProtection="1">
      <alignment horizontal="center"/>
    </xf>
    <xf numFmtId="3" fontId="7" fillId="0" borderId="8" xfId="0" applyNumberFormat="1" applyFont="1" applyFill="1" applyBorder="1" applyAlignment="1" applyProtection="1">
      <alignment horizontal="center"/>
    </xf>
    <xf numFmtId="3" fontId="7" fillId="0" borderId="0" xfId="0" applyNumberFormat="1" applyFont="1" applyFill="1" applyBorder="1" applyAlignment="1" applyProtection="1">
      <alignment horizontal="left"/>
    </xf>
    <xf numFmtId="3" fontId="7" fillId="0" borderId="0" xfId="0" applyNumberFormat="1" applyFont="1" applyFill="1" applyAlignment="1" applyProtection="1">
      <alignment horizontal="left"/>
    </xf>
    <xf numFmtId="0" fontId="18" fillId="3" borderId="9" xfId="0" applyNumberFormat="1" applyFont="1" applyFill="1" applyBorder="1" applyAlignment="1" applyProtection="1">
      <alignment horizontal="center"/>
    </xf>
    <xf numFmtId="0" fontId="18" fillId="3" borderId="9" xfId="0" applyFont="1" applyFill="1" applyBorder="1" applyAlignment="1" applyProtection="1">
      <alignment horizontal="center"/>
    </xf>
    <xf numFmtId="3" fontId="18" fillId="3" borderId="9" xfId="0" applyNumberFormat="1" applyFont="1" applyFill="1" applyBorder="1" applyAlignment="1" applyProtection="1">
      <alignment horizontal="center"/>
    </xf>
    <xf numFmtId="0" fontId="19" fillId="0" borderId="12" xfId="0" applyFont="1" applyBorder="1" applyAlignment="1" applyProtection="1">
      <alignment horizontal="center" vertical="center"/>
    </xf>
    <xf numFmtId="0" fontId="19" fillId="0" borderId="21" xfId="0" quotePrefix="1" applyFont="1" applyBorder="1" applyAlignment="1" applyProtection="1">
      <alignment horizontal="center"/>
    </xf>
    <xf numFmtId="3" fontId="0" fillId="0" borderId="0" xfId="0" applyNumberFormat="1" applyBorder="1" applyAlignment="1" applyProtection="1">
      <alignment horizontal="center"/>
      <protection hidden="1"/>
    </xf>
    <xf numFmtId="165" fontId="18" fillId="0" borderId="0" xfId="4" applyNumberFormat="1" applyFont="1" applyFill="1" applyBorder="1" applyAlignment="1">
      <alignment horizontal="center"/>
    </xf>
    <xf numFmtId="0" fontId="31" fillId="0" borderId="0" xfId="0" applyFont="1" applyAlignment="1" applyProtection="1">
      <alignment horizontal="center"/>
      <protection locked="0"/>
    </xf>
    <xf numFmtId="172" fontId="18" fillId="0" borderId="0" xfId="4" applyNumberFormat="1" applyFont="1" applyBorder="1" applyAlignment="1">
      <alignment horizontal="right"/>
    </xf>
    <xf numFmtId="172" fontId="22" fillId="0" borderId="28" xfId="4" applyNumberFormat="1" applyFont="1" applyBorder="1" applyAlignment="1">
      <alignment horizontal="right"/>
    </xf>
    <xf numFmtId="165" fontId="18" fillId="0" borderId="0" xfId="4" applyNumberFormat="1" applyFont="1" applyBorder="1" applyAlignment="1">
      <alignment horizontal="right"/>
    </xf>
    <xf numFmtId="165" fontId="22" fillId="0" borderId="28" xfId="4" applyNumberFormat="1" applyFont="1" applyBorder="1" applyAlignment="1">
      <alignment horizontal="right"/>
    </xf>
    <xf numFmtId="167" fontId="31" fillId="0" borderId="0" xfId="4" applyNumberFormat="1" applyFont="1" applyBorder="1" applyAlignment="1">
      <alignment horizontal="right"/>
    </xf>
    <xf numFmtId="167" fontId="20" fillId="0" borderId="28" xfId="4" applyNumberFormat="1" applyFont="1" applyBorder="1" applyAlignment="1">
      <alignment horizontal="right"/>
    </xf>
    <xf numFmtId="165" fontId="18" fillId="4" borderId="0" xfId="4" applyNumberFormat="1" applyFont="1" applyFill="1" applyAlignment="1">
      <alignment horizontal="center"/>
    </xf>
    <xf numFmtId="0" fontId="20" fillId="0" borderId="0" xfId="0" applyFont="1" applyAlignment="1">
      <alignment horizontal="left" indent="1"/>
    </xf>
    <xf numFmtId="167" fontId="31" fillId="0" borderId="0" xfId="4" applyNumberFormat="1" applyFont="1" applyBorder="1" applyAlignment="1">
      <alignment horizontal="center"/>
    </xf>
    <xf numFmtId="167" fontId="20" fillId="0" borderId="28" xfId="4" applyNumberFormat="1" applyFont="1" applyBorder="1" applyAlignment="1">
      <alignment horizontal="center"/>
    </xf>
    <xf numFmtId="171" fontId="0" fillId="0" borderId="0" xfId="4" applyNumberFormat="1" applyFont="1"/>
    <xf numFmtId="4" fontId="20" fillId="0" borderId="28" xfId="4" applyNumberFormat="1" applyFont="1" applyBorder="1" applyAlignment="1">
      <alignment horizontal="center"/>
    </xf>
    <xf numFmtId="4" fontId="20" fillId="0" borderId="8" xfId="0" applyNumberFormat="1" applyFont="1" applyBorder="1"/>
    <xf numFmtId="171" fontId="0" fillId="0" borderId="0" xfId="4" applyNumberFormat="1" applyFont="1" applyAlignment="1">
      <alignment horizontal="right"/>
    </xf>
    <xf numFmtId="171" fontId="18" fillId="0" borderId="12" xfId="0" applyNumberFormat="1" applyFont="1" applyBorder="1" applyProtection="1"/>
    <xf numFmtId="0" fontId="44" fillId="0" borderId="0" xfId="0" quotePrefix="1" applyFont="1" applyAlignment="1" applyProtection="1">
      <alignment horizontal="center"/>
      <protection hidden="1"/>
    </xf>
    <xf numFmtId="0" fontId="20" fillId="0" borderId="0" xfId="0" applyFont="1" applyFill="1" applyAlignment="1">
      <alignment horizontal="center" wrapText="1"/>
    </xf>
    <xf numFmtId="0" fontId="19" fillId="0" borderId="26" xfId="0" applyFont="1" applyBorder="1" applyAlignment="1" applyProtection="1">
      <alignment horizontal="center" vertical="center"/>
    </xf>
    <xf numFmtId="0" fontId="31" fillId="0" borderId="0" xfId="0" applyFont="1" applyAlignment="1">
      <alignment horizontal="left" vertical="top" wrapText="1"/>
    </xf>
    <xf numFmtId="0" fontId="31" fillId="0" borderId="0" xfId="0" applyFont="1" applyAlignment="1">
      <alignment vertical="top"/>
    </xf>
    <xf numFmtId="0" fontId="31" fillId="0" borderId="0" xfId="0" applyFont="1" applyAlignment="1">
      <alignment vertical="top" wrapText="1"/>
    </xf>
    <xf numFmtId="0" fontId="18" fillId="0" borderId="0" xfId="0" applyFont="1" applyAlignment="1">
      <alignment horizontal="left" vertical="top" wrapText="1" indent="2"/>
    </xf>
    <xf numFmtId="0" fontId="31" fillId="0" borderId="0" xfId="0" applyFont="1" applyAlignment="1">
      <alignment horizontal="left" vertical="top" indent="2"/>
    </xf>
    <xf numFmtId="0" fontId="0" fillId="0" borderId="0" xfId="0" applyAlignment="1">
      <alignment horizontal="left" vertical="top" indent="2"/>
    </xf>
    <xf numFmtId="0" fontId="0" fillId="0" borderId="0" xfId="0" applyAlignment="1">
      <alignment horizontal="left" vertical="top" wrapText="1" indent="2"/>
    </xf>
    <xf numFmtId="0" fontId="35" fillId="3" borderId="0" xfId="0" applyFont="1" applyFill="1" applyAlignment="1" applyProtection="1">
      <alignment horizontal="center"/>
      <protection hidden="1"/>
    </xf>
    <xf numFmtId="0" fontId="13" fillId="0" borderId="0" xfId="3" applyFont="1" applyFill="1" applyAlignment="1" applyProtection="1">
      <alignment horizontal="center" vertical="center" textRotation="90" wrapText="1"/>
      <protection hidden="1"/>
    </xf>
    <xf numFmtId="0" fontId="19" fillId="0" borderId="0" xfId="0" applyFont="1" applyFill="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0" borderId="0" xfId="0" quotePrefix="1" applyFont="1" applyFill="1" applyBorder="1" applyAlignment="1" applyProtection="1">
      <alignment horizontal="center"/>
      <protection hidden="1"/>
    </xf>
    <xf numFmtId="0" fontId="19" fillId="0" borderId="0" xfId="0" quotePrefix="1" applyFont="1" applyBorder="1" applyAlignment="1" applyProtection="1">
      <alignment horizontal="center"/>
      <protection hidden="1"/>
    </xf>
    <xf numFmtId="0" fontId="19" fillId="3" borderId="0" xfId="0" quotePrefix="1" applyFont="1" applyFill="1" applyBorder="1" applyAlignment="1" applyProtection="1">
      <alignment horizontal="center"/>
      <protection hidden="1"/>
    </xf>
    <xf numFmtId="0" fontId="19" fillId="3" borderId="0" xfId="0" applyFont="1" applyFill="1" applyAlignment="1" applyProtection="1">
      <alignment horizontal="center"/>
      <protection hidden="1"/>
    </xf>
    <xf numFmtId="0" fontId="4" fillId="0" borderId="0" xfId="0" applyFont="1" applyAlignment="1" applyProtection="1"/>
    <xf numFmtId="0" fontId="15" fillId="0" borderId="0" xfId="0" applyFont="1" applyFill="1" applyAlignment="1" applyProtection="1">
      <alignment horizontal="center"/>
      <protection hidden="1"/>
    </xf>
    <xf numFmtId="0" fontId="13" fillId="0" borderId="0" xfId="3" applyFont="1" applyAlignment="1" applyProtection="1">
      <alignment horizontal="center" vertical="center" textRotation="90" wrapText="1"/>
      <protection hidden="1"/>
    </xf>
    <xf numFmtId="0" fontId="19" fillId="3" borderId="0" xfId="3" applyFont="1" applyFill="1" applyAlignment="1" applyProtection="1">
      <alignment horizontal="center" vertical="center" textRotation="90" wrapText="1"/>
      <protection hidden="1"/>
    </xf>
    <xf numFmtId="0" fontId="19" fillId="0" borderId="12" xfId="0" applyFont="1" applyFill="1" applyBorder="1" applyAlignment="1" applyProtection="1">
      <alignment horizontal="center"/>
    </xf>
    <xf numFmtId="164" fontId="7" fillId="0" borderId="0" xfId="0" applyNumberFormat="1" applyFont="1" applyFill="1" applyAlignment="1" applyProtection="1"/>
    <xf numFmtId="166" fontId="7" fillId="0" borderId="11" xfId="0" applyNumberFormat="1" applyFont="1" applyFill="1" applyBorder="1" applyAlignment="1" applyProtection="1">
      <alignment horizontal="center"/>
    </xf>
    <xf numFmtId="164" fontId="7" fillId="0" borderId="1" xfId="0" applyNumberFormat="1" applyFont="1" applyFill="1" applyBorder="1" applyAlignment="1" applyProtection="1"/>
    <xf numFmtId="0" fontId="7" fillId="0" borderId="0" xfId="0" applyFont="1" applyFill="1" applyAlignment="1" applyProtection="1">
      <alignment horizontal="right" vertical="top"/>
    </xf>
    <xf numFmtId="3" fontId="13" fillId="0" borderId="11" xfId="0" applyNumberFormat="1" applyFont="1" applyFill="1" applyBorder="1" applyAlignment="1" applyProtection="1">
      <alignment horizontal="center"/>
    </xf>
    <xf numFmtId="0" fontId="47" fillId="0" borderId="0" xfId="0" applyFont="1"/>
    <xf numFmtId="0" fontId="19" fillId="0" borderId="0" xfId="0" applyFont="1" applyBorder="1" applyAlignment="1" applyProtection="1">
      <alignment horizontal="center" vertical="center" wrapText="1"/>
    </xf>
    <xf numFmtId="0" fontId="0" fillId="0" borderId="0" xfId="0" applyAlignment="1" applyProtection="1"/>
    <xf numFmtId="166" fontId="0" fillId="3" borderId="0" xfId="0" applyNumberFormat="1" applyFill="1" applyAlignment="1" applyProtection="1"/>
    <xf numFmtId="3" fontId="0" fillId="0" borderId="0" xfId="0" applyNumberFormat="1" applyAlignment="1" applyProtection="1"/>
    <xf numFmtId="0" fontId="31" fillId="0" borderId="0" xfId="0" applyFont="1" applyAlignment="1" applyProtection="1"/>
    <xf numFmtId="0" fontId="7" fillId="0" borderId="0" xfId="0" applyFont="1" applyFill="1" applyAlignment="1" applyProtection="1">
      <alignment horizontal="center" vertical="top"/>
      <protection hidden="1"/>
    </xf>
    <xf numFmtId="0" fontId="18" fillId="0" borderId="0" xfId="0" quotePrefix="1" applyFont="1" applyAlignment="1">
      <alignment horizontal="left"/>
    </xf>
    <xf numFmtId="0" fontId="18" fillId="0" borderId="0" xfId="0" quotePrefix="1" applyFont="1" applyAlignment="1">
      <alignment horizontal="left" wrapText="1"/>
    </xf>
    <xf numFmtId="0" fontId="33" fillId="0" borderId="0" xfId="0" quotePrefix="1" applyFont="1" applyAlignment="1">
      <alignment horizontal="left"/>
    </xf>
    <xf numFmtId="0" fontId="33" fillId="0" borderId="0" xfId="0" applyFont="1"/>
    <xf numFmtId="0" fontId="31" fillId="0" borderId="0" xfId="0" quotePrefix="1" applyFont="1" applyAlignment="1">
      <alignment horizontal="left"/>
    </xf>
    <xf numFmtId="0" fontId="18" fillId="0" borderId="9" xfId="0" applyNumberFormat="1" applyFont="1" applyFill="1" applyBorder="1" applyAlignment="1" applyProtection="1">
      <alignment horizontal="center"/>
    </xf>
    <xf numFmtId="0" fontId="18" fillId="3" borderId="0" xfId="0" applyFont="1" applyFill="1" applyBorder="1" applyAlignment="1" applyProtection="1">
      <alignment horizontal="center"/>
    </xf>
    <xf numFmtId="0" fontId="44" fillId="0" borderId="0" xfId="0" applyFont="1"/>
    <xf numFmtId="0" fontId="33" fillId="0" borderId="24" xfId="0" applyFont="1" applyBorder="1" applyAlignment="1">
      <alignment horizontal="right"/>
    </xf>
    <xf numFmtId="0" fontId="33" fillId="0" borderId="11" xfId="0" applyFont="1" applyBorder="1" applyAlignment="1">
      <alignment horizontal="right"/>
    </xf>
    <xf numFmtId="0" fontId="33" fillId="0" borderId="25" xfId="0" applyFont="1" applyBorder="1" applyAlignment="1">
      <alignment horizontal="right"/>
    </xf>
    <xf numFmtId="0" fontId="33" fillId="0" borderId="12" xfId="0" applyFont="1" applyBorder="1" applyAlignment="1">
      <alignment horizontal="right"/>
    </xf>
    <xf numFmtId="0" fontId="33" fillId="0" borderId="0" xfId="0" applyFont="1" applyBorder="1" applyAlignment="1">
      <alignment horizontal="right"/>
    </xf>
    <xf numFmtId="0" fontId="33" fillId="0" borderId="26" xfId="0" applyFont="1" applyBorder="1" applyAlignment="1">
      <alignment horizontal="right"/>
    </xf>
    <xf numFmtId="165" fontId="33" fillId="0" borderId="12" xfId="0" applyNumberFormat="1" applyFont="1" applyBorder="1"/>
    <xf numFmtId="165" fontId="33" fillId="0" borderId="0" xfId="0" applyNumberFormat="1" applyFont="1" applyBorder="1"/>
    <xf numFmtId="165" fontId="33" fillId="0" borderId="26" xfId="0" applyNumberFormat="1" applyFont="1" applyBorder="1"/>
    <xf numFmtId="0" fontId="33" fillId="0" borderId="21" xfId="0" applyFont="1" applyBorder="1" applyAlignment="1">
      <alignment horizontal="right"/>
    </xf>
    <xf numFmtId="0" fontId="33" fillId="0" borderId="1" xfId="0" applyFont="1" applyBorder="1" applyAlignment="1">
      <alignment horizontal="right"/>
    </xf>
    <xf numFmtId="0" fontId="33" fillId="0" borderId="27" xfId="0" applyFont="1" applyBorder="1" applyAlignment="1">
      <alignment horizontal="right"/>
    </xf>
    <xf numFmtId="0" fontId="44" fillId="0" borderId="24" xfId="0" quotePrefix="1" applyFont="1" applyBorder="1" applyAlignment="1">
      <alignment horizontal="left"/>
    </xf>
    <xf numFmtId="0" fontId="44" fillId="0" borderId="11" xfId="0" quotePrefix="1" applyFont="1" applyBorder="1" applyAlignment="1">
      <alignment horizontal="left"/>
    </xf>
    <xf numFmtId="0" fontId="44" fillId="0" borderId="11" xfId="0" applyFont="1" applyBorder="1"/>
    <xf numFmtId="0" fontId="44" fillId="0" borderId="25" xfId="0" applyFont="1" applyBorder="1"/>
    <xf numFmtId="0" fontId="44" fillId="0" borderId="12" xfId="0" quotePrefix="1" applyFont="1" applyBorder="1" applyAlignment="1">
      <alignment horizontal="left"/>
    </xf>
    <xf numFmtId="0" fontId="44" fillId="0" borderId="0" xfId="0" quotePrefix="1" applyFont="1" applyBorder="1" applyAlignment="1">
      <alignment horizontal="left"/>
    </xf>
    <xf numFmtId="0" fontId="44" fillId="0" borderId="0" xfId="0" applyFont="1" applyBorder="1"/>
    <xf numFmtId="0" fontId="44" fillId="0" borderId="26" xfId="0" applyFont="1" applyBorder="1"/>
    <xf numFmtId="0" fontId="18" fillId="0" borderId="21" xfId="0" applyFont="1" applyBorder="1"/>
    <xf numFmtId="0" fontId="18" fillId="0" borderId="1" xfId="0" applyFont="1" applyBorder="1"/>
    <xf numFmtId="0" fontId="18" fillId="0" borderId="27" xfId="0" applyFont="1" applyBorder="1"/>
    <xf numFmtId="3" fontId="18" fillId="9" borderId="9" xfId="0" applyNumberFormat="1" applyFont="1" applyFill="1" applyBorder="1" applyAlignment="1" applyProtection="1">
      <alignment horizontal="center"/>
    </xf>
    <xf numFmtId="0" fontId="20" fillId="0" borderId="0" xfId="0" quotePrefix="1" applyFont="1" applyAlignment="1">
      <alignment horizontal="left"/>
    </xf>
    <xf numFmtId="0" fontId="33" fillId="0" borderId="0" xfId="0" quotePrefix="1" applyFont="1" applyAlignment="1">
      <alignment horizontal="left" indent="1"/>
    </xf>
    <xf numFmtId="0" fontId="33" fillId="0" borderId="0" xfId="0" quotePrefix="1" applyFont="1" applyAlignment="1">
      <alignment horizontal="left" wrapText="1"/>
    </xf>
    <xf numFmtId="0" fontId="31" fillId="0" borderId="0" xfId="0" quotePrefix="1" applyFont="1" applyAlignment="1">
      <alignment horizontal="left" vertical="top" wrapText="1"/>
    </xf>
    <xf numFmtId="0" fontId="28" fillId="0" borderId="0" xfId="0" quotePrefix="1" applyFont="1" applyAlignment="1">
      <alignment horizontal="left"/>
    </xf>
    <xf numFmtId="0" fontId="37" fillId="6" borderId="0" xfId="0" applyFont="1" applyFill="1" applyBorder="1" applyAlignment="1">
      <alignment horizontal="center"/>
    </xf>
    <xf numFmtId="0" fontId="0" fillId="0" borderId="0" xfId="0" applyAlignment="1"/>
    <xf numFmtId="0" fontId="20" fillId="0" borderId="0" xfId="0" applyFont="1" applyFill="1" applyAlignment="1">
      <alignment horizontal="center" wrapText="1"/>
    </xf>
    <xf numFmtId="171" fontId="0" fillId="0" borderId="12" xfId="0" quotePrefix="1" applyNumberFormat="1" applyBorder="1" applyAlignment="1" applyProtection="1">
      <alignment horizontal="center" wrapText="1"/>
    </xf>
    <xf numFmtId="0" fontId="0" fillId="0" borderId="26" xfId="0" applyBorder="1" applyAlignment="1">
      <alignment horizontal="center" wrapText="1"/>
    </xf>
    <xf numFmtId="0" fontId="0" fillId="0" borderId="0" xfId="0" applyAlignment="1" applyProtection="1">
      <alignment vertical="center"/>
      <protection hidden="1"/>
    </xf>
    <xf numFmtId="0" fontId="0" fillId="0" borderId="1" xfId="0" applyBorder="1" applyAlignment="1" applyProtection="1">
      <alignment vertical="center"/>
      <protection hidden="1"/>
    </xf>
    <xf numFmtId="171" fontId="0" fillId="0" borderId="12" xfId="0" applyNumberFormat="1" applyBorder="1" applyAlignment="1" applyProtection="1">
      <alignment horizontal="center" vertical="center"/>
    </xf>
    <xf numFmtId="0" fontId="0" fillId="0" borderId="26" xfId="0" applyBorder="1" applyAlignment="1">
      <alignment horizontal="center" vertical="center"/>
    </xf>
    <xf numFmtId="171" fontId="0" fillId="0" borderId="21" xfId="0" applyNumberFormat="1" applyBorder="1" applyAlignment="1" applyProtection="1">
      <alignment horizontal="center" vertical="center"/>
    </xf>
    <xf numFmtId="0" fontId="0" fillId="0" borderId="27" xfId="0" applyBorder="1" applyAlignment="1">
      <alignment horizontal="center" vertical="center"/>
    </xf>
    <xf numFmtId="171" fontId="0" fillId="0" borderId="21" xfId="0" quotePrefix="1" applyNumberFormat="1" applyBorder="1" applyAlignment="1" applyProtection="1">
      <alignment horizontal="center"/>
    </xf>
    <xf numFmtId="0" fontId="0" fillId="0" borderId="27" xfId="0" applyBorder="1" applyAlignment="1">
      <alignment horizontal="center"/>
    </xf>
    <xf numFmtId="0" fontId="20" fillId="2" borderId="18" xfId="0" applyFont="1" applyFill="1" applyBorder="1" applyAlignment="1" applyProtection="1">
      <alignment horizontal="center" vertical="center"/>
    </xf>
    <xf numFmtId="0" fontId="0" fillId="0" borderId="20" xfId="0" applyBorder="1" applyAlignment="1">
      <alignment horizontal="center" vertical="center"/>
    </xf>
    <xf numFmtId="171" fontId="0" fillId="0" borderId="24" xfId="0" applyNumberFormat="1" applyBorder="1" applyAlignment="1" applyProtection="1">
      <alignment horizontal="center" vertical="center"/>
    </xf>
    <xf numFmtId="0" fontId="0" fillId="0" borderId="25" xfId="0" applyBorder="1" applyAlignment="1">
      <alignment horizontal="center" vertical="center"/>
    </xf>
    <xf numFmtId="0" fontId="31" fillId="3" borderId="18" xfId="0" applyFont="1" applyFill="1" applyBorder="1" applyAlignment="1" applyProtection="1">
      <alignment shrinkToFit="1"/>
      <protection hidden="1"/>
    </xf>
    <xf numFmtId="0" fontId="0" fillId="3" borderId="19" xfId="0" applyFill="1" applyBorder="1" applyAlignment="1" applyProtection="1">
      <alignment shrinkToFit="1"/>
      <protection hidden="1"/>
    </xf>
    <xf numFmtId="0" fontId="0" fillId="3" borderId="20" xfId="0" applyFill="1" applyBorder="1" applyAlignment="1" applyProtection="1">
      <alignment shrinkToFit="1"/>
      <protection hidden="1"/>
    </xf>
    <xf numFmtId="171" fontId="0" fillId="0" borderId="24" xfId="0" quotePrefix="1" applyNumberFormat="1" applyBorder="1" applyAlignment="1" applyProtection="1">
      <alignment horizontal="center"/>
    </xf>
    <xf numFmtId="0" fontId="0" fillId="0" borderId="25" xfId="0" applyBorder="1" applyAlignment="1">
      <alignment horizontal="center"/>
    </xf>
    <xf numFmtId="171" fontId="0" fillId="0" borderId="12" xfId="0" applyNumberFormat="1" applyBorder="1" applyAlignment="1" applyProtection="1">
      <alignment horizontal="center"/>
    </xf>
    <xf numFmtId="0" fontId="0" fillId="0" borderId="26" xfId="0" applyBorder="1" applyAlignment="1">
      <alignment horizontal="center"/>
    </xf>
    <xf numFmtId="0" fontId="31" fillId="0" borderId="0" xfId="0" applyFont="1" applyAlignment="1" applyProtection="1">
      <alignment horizontal="center"/>
      <protection locked="0"/>
    </xf>
  </cellXfs>
  <cellStyles count="5">
    <cellStyle name="Comma" xfId="1" builtinId="3"/>
    <cellStyle name="Hyperlink" xfId="2" builtinId="8"/>
    <cellStyle name="Normal" xfId="0" builtinId="0"/>
    <cellStyle name="Normal_TEI Financial Performance" xfId="3"/>
    <cellStyle name="Percent" xfId="4" builtinId="5"/>
  </cellStyles>
  <dxfs count="6">
    <dxf>
      <fill>
        <patternFill>
          <bgColor indexed="11"/>
        </patternFill>
      </fill>
    </dxf>
    <dxf>
      <font>
        <condense val="0"/>
        <extend val="0"/>
        <color auto="1"/>
      </font>
      <fill>
        <patternFill>
          <bgColor indexed="52"/>
        </patternFill>
      </fill>
    </dxf>
    <dxf>
      <font>
        <condense val="0"/>
        <extend val="0"/>
        <color indexed="9"/>
      </font>
      <fill>
        <patternFill>
          <bgColor indexed="10"/>
        </patternFill>
      </fill>
    </dxf>
    <dxf>
      <fill>
        <patternFill>
          <bgColor rgb="FFFFFF0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n-NZ" sz="1050" b="1" i="0" u="none" strike="noStrike" baseline="0">
                <a:solidFill>
                  <a:srgbClr val="000000"/>
                </a:solidFill>
                <a:latin typeface="Arial"/>
                <a:cs typeface="Arial"/>
              </a:rPr>
              <a:t>Historical View </a:t>
            </a:r>
            <a:r>
              <a:rPr lang="en-NZ" sz="1050" b="1" i="0" u="none" strike="noStrike" baseline="0">
                <a:solidFill>
                  <a:srgbClr val="000000"/>
                </a:solidFill>
                <a:latin typeface="Wingdings"/>
                <a:cs typeface="Arial"/>
              </a:rPr>
              <a:t>à</a:t>
            </a:r>
            <a:r>
              <a:rPr lang="en-NZ" sz="1050" b="1" i="0" u="none" strike="noStrike" baseline="0">
                <a:solidFill>
                  <a:srgbClr val="000000"/>
                </a:solidFill>
                <a:latin typeface="Arial"/>
                <a:cs typeface="Arial"/>
              </a:rPr>
              <a:t> Future View</a:t>
            </a:r>
          </a:p>
        </c:rich>
      </c:tx>
      <c:layout>
        <c:manualLayout>
          <c:xMode val="edge"/>
          <c:yMode val="edge"/>
          <c:x val="0.23998847325093267"/>
          <c:y val="8.0662808715175668E-3"/>
        </c:manualLayout>
      </c:layout>
      <c:overlay val="1"/>
      <c:spPr>
        <a:noFill/>
        <a:ln w="25400">
          <a:noFill/>
        </a:ln>
      </c:spPr>
    </c:title>
    <c:autoTitleDeleted val="0"/>
    <c:plotArea>
      <c:layout>
        <c:manualLayout>
          <c:layoutTarget val="inner"/>
          <c:xMode val="edge"/>
          <c:yMode val="edge"/>
          <c:x val="0.11212154392028859"/>
          <c:y val="7.5301204819277115E-2"/>
          <c:w val="0.82727517541185902"/>
          <c:h val="0.8162650602409639"/>
        </c:manualLayout>
      </c:layout>
      <c:scatterChart>
        <c:scatterStyle val="lineMarker"/>
        <c:varyColors val="0"/>
        <c:ser>
          <c:idx val="2"/>
          <c:order val="0"/>
          <c:tx>
            <c:v>Line</c:v>
          </c:tx>
          <c:spPr>
            <a:ln w="12700">
              <a:solidFill>
                <a:srgbClr val="000000"/>
              </a:solidFill>
              <a:prstDash val="solid"/>
            </a:ln>
          </c:spPr>
          <c:marker>
            <c:symbol val="none"/>
          </c:marker>
          <c:xVal>
            <c:numRef>
              <c:f>Report!$T$7:$U$7</c:f>
              <c:numCache>
                <c:formatCode>0.00</c:formatCode>
                <c:ptCount val="2"/>
                <c:pt idx="0">
                  <c:v>2.25</c:v>
                </c:pt>
                <c:pt idx="1">
                  <c:v>3.9450000000000003</c:v>
                </c:pt>
              </c:numCache>
            </c:numRef>
          </c:xVal>
          <c:yVal>
            <c:numRef>
              <c:f>Report!$T$9:$U$9</c:f>
              <c:numCache>
                <c:formatCode>0.00</c:formatCode>
                <c:ptCount val="2"/>
                <c:pt idx="0">
                  <c:v>2.074074074074074</c:v>
                </c:pt>
                <c:pt idx="1">
                  <c:v>3.7433333333333336</c:v>
                </c:pt>
              </c:numCache>
            </c:numRef>
          </c:yVal>
          <c:smooth val="0"/>
        </c:ser>
        <c:ser>
          <c:idx val="0"/>
          <c:order val="1"/>
          <c:tx>
            <c:strRef>
              <c:f>Report!$T$6</c:f>
              <c:strCache>
                <c:ptCount val="1"/>
                <c:pt idx="0">
                  <c:v>Historical</c:v>
                </c:pt>
              </c:strCache>
            </c:strRef>
          </c:tx>
          <c:spPr>
            <a:ln w="28575">
              <a:noFill/>
            </a:ln>
          </c:spPr>
          <c:marker>
            <c:symbol val="circle"/>
            <c:size val="4"/>
            <c:spPr>
              <a:solidFill>
                <a:srgbClr val="000000"/>
              </a:solidFill>
              <a:ln>
                <a:solidFill>
                  <a:srgbClr val="000000"/>
                </a:solidFill>
                <a:prstDash val="solid"/>
              </a:ln>
            </c:spPr>
          </c:marker>
          <c:xVal>
            <c:numRef>
              <c:f>Report!$T$7</c:f>
              <c:numCache>
                <c:formatCode>0.00</c:formatCode>
                <c:ptCount val="1"/>
                <c:pt idx="0">
                  <c:v>2.25</c:v>
                </c:pt>
              </c:numCache>
            </c:numRef>
          </c:xVal>
          <c:yVal>
            <c:numRef>
              <c:f>Report!$T$9</c:f>
              <c:numCache>
                <c:formatCode>0.00</c:formatCode>
                <c:ptCount val="1"/>
                <c:pt idx="0">
                  <c:v>2.074074074074074</c:v>
                </c:pt>
              </c:numCache>
            </c:numRef>
          </c:yVal>
          <c:smooth val="0"/>
        </c:ser>
        <c:ser>
          <c:idx val="3"/>
          <c:order val="2"/>
          <c:tx>
            <c:strRef>
              <c:f>Report!$V$6</c:f>
              <c:strCache>
                <c:ptCount val="1"/>
                <c:pt idx="0">
                  <c:v>Mid Pt</c:v>
                </c:pt>
              </c:strCache>
            </c:strRef>
          </c:tx>
          <c:spPr>
            <a:ln w="3175">
              <a:solidFill>
                <a:srgbClr val="000000"/>
              </a:solidFill>
              <a:prstDash val="solid"/>
            </a:ln>
          </c:spPr>
          <c:marker>
            <c:symbol val="diamond"/>
            <c:size val="2"/>
            <c:spPr>
              <a:solidFill>
                <a:srgbClr val="000000"/>
              </a:solidFill>
              <a:ln>
                <a:solidFill>
                  <a:srgbClr val="000000"/>
                </a:solidFill>
                <a:prstDash val="solid"/>
              </a:ln>
            </c:spPr>
          </c:marker>
          <c:xVal>
            <c:numRef>
              <c:f>Report!$V$7</c:f>
              <c:numCache>
                <c:formatCode>0.0</c:formatCode>
                <c:ptCount val="1"/>
                <c:pt idx="0">
                  <c:v>3.0975000000000001</c:v>
                </c:pt>
              </c:numCache>
            </c:numRef>
          </c:xVal>
          <c:yVal>
            <c:numRef>
              <c:f>Report!$V$9</c:f>
              <c:numCache>
                <c:formatCode>0.0</c:formatCode>
                <c:ptCount val="1"/>
                <c:pt idx="0">
                  <c:v>2.9087037037037038</c:v>
                </c:pt>
              </c:numCache>
            </c:numRef>
          </c:yVal>
          <c:smooth val="0"/>
        </c:ser>
        <c:ser>
          <c:idx val="1"/>
          <c:order val="3"/>
          <c:tx>
            <c:strRef>
              <c:f>Report!$U$6</c:f>
              <c:strCache>
                <c:ptCount val="1"/>
                <c:pt idx="0">
                  <c:v>Future</c:v>
                </c:pt>
              </c:strCache>
            </c:strRef>
          </c:tx>
          <c:spPr>
            <a:ln w="28575">
              <a:noFill/>
            </a:ln>
          </c:spPr>
          <c:marker>
            <c:symbol val="circle"/>
            <c:size val="4"/>
            <c:spPr>
              <a:solidFill>
                <a:srgbClr val="000000"/>
              </a:solidFill>
              <a:ln>
                <a:solidFill>
                  <a:srgbClr val="000000"/>
                </a:solidFill>
                <a:prstDash val="solid"/>
              </a:ln>
            </c:spPr>
          </c:marker>
          <c:xVal>
            <c:numRef>
              <c:f>Report!$U$7</c:f>
              <c:numCache>
                <c:formatCode>0.00</c:formatCode>
                <c:ptCount val="1"/>
                <c:pt idx="0">
                  <c:v>3.9450000000000003</c:v>
                </c:pt>
              </c:numCache>
            </c:numRef>
          </c:xVal>
          <c:yVal>
            <c:numRef>
              <c:f>Report!$U$9</c:f>
              <c:numCache>
                <c:formatCode>0.00</c:formatCode>
                <c:ptCount val="1"/>
                <c:pt idx="0">
                  <c:v>3.7433333333333336</c:v>
                </c:pt>
              </c:numCache>
            </c:numRef>
          </c:yVal>
          <c:smooth val="0"/>
        </c:ser>
        <c:ser>
          <c:idx val="4"/>
          <c:order val="4"/>
          <c:tx>
            <c:v>Arrow1</c:v>
          </c:tx>
          <c:spPr>
            <a:ln w="12700">
              <a:solidFill>
                <a:srgbClr val="000000"/>
              </a:solidFill>
              <a:prstDash val="solid"/>
            </a:ln>
          </c:spPr>
          <c:marker>
            <c:symbol val="none"/>
          </c:marker>
          <c:xVal>
            <c:numRef>
              <c:f>Report!$V$7:$W$7</c:f>
              <c:numCache>
                <c:formatCode>0.00</c:formatCode>
                <c:ptCount val="2"/>
                <c:pt idx="0" formatCode="0.0">
                  <c:v>3.0975000000000001</c:v>
                </c:pt>
                <c:pt idx="1">
                  <c:v>2.7956515473591526</c:v>
                </c:pt>
              </c:numCache>
            </c:numRef>
          </c:xVal>
          <c:yVal>
            <c:numRef>
              <c:f>Report!$V$9:$W$9</c:f>
              <c:numCache>
                <c:formatCode>0.00</c:formatCode>
                <c:ptCount val="2"/>
                <c:pt idx="0" formatCode="0.0">
                  <c:v>2.9087037037037038</c:v>
                </c:pt>
                <c:pt idx="1">
                  <c:v>2.8589170010202598</c:v>
                </c:pt>
              </c:numCache>
            </c:numRef>
          </c:yVal>
          <c:smooth val="0"/>
        </c:ser>
        <c:ser>
          <c:idx val="5"/>
          <c:order val="5"/>
          <c:tx>
            <c:v>Arrow2</c:v>
          </c:tx>
          <c:spPr>
            <a:ln w="12700">
              <a:solidFill>
                <a:srgbClr val="000000"/>
              </a:solidFill>
              <a:prstDash val="solid"/>
            </a:ln>
          </c:spPr>
          <c:marker>
            <c:symbol val="none"/>
          </c:marker>
          <c:xVal>
            <c:numRef>
              <c:f>Report!$AB$5:$AC$5</c:f>
              <c:numCache>
                <c:formatCode>0.00</c:formatCode>
                <c:ptCount val="2"/>
                <c:pt idx="0" formatCode="0.0">
                  <c:v>3.0975000000000001</c:v>
                </c:pt>
                <c:pt idx="1">
                  <c:v>3.0431003691831102</c:v>
                </c:pt>
              </c:numCache>
            </c:numRef>
          </c:xVal>
          <c:yVal>
            <c:numRef>
              <c:f>Report!$AB$6:$AC$6</c:f>
              <c:numCache>
                <c:formatCode>0.00</c:formatCode>
                <c:ptCount val="2"/>
                <c:pt idx="0" formatCode="0.0">
                  <c:v>2.9087037037037038</c:v>
                </c:pt>
                <c:pt idx="1">
                  <c:v>2.6076524052631398</c:v>
                </c:pt>
              </c:numCache>
            </c:numRef>
          </c:yVal>
          <c:smooth val="0"/>
        </c:ser>
        <c:dLbls>
          <c:showLegendKey val="0"/>
          <c:showVal val="0"/>
          <c:showCatName val="0"/>
          <c:showSerName val="0"/>
          <c:showPercent val="0"/>
          <c:showBubbleSize val="0"/>
        </c:dLbls>
        <c:axId val="113807744"/>
        <c:axId val="113809664"/>
      </c:scatterChart>
      <c:valAx>
        <c:axId val="113807744"/>
        <c:scaling>
          <c:orientation val="minMax"/>
          <c:max val="5"/>
          <c:min val="-1"/>
        </c:scaling>
        <c:delete val="0"/>
        <c:axPos val="b"/>
        <c:title>
          <c:tx>
            <c:rich>
              <a:bodyPr/>
              <a:lstStyle/>
              <a:p>
                <a:pPr>
                  <a:defRPr sz="950" b="1" i="0" u="none" strike="noStrike" baseline="0">
                    <a:solidFill>
                      <a:srgbClr val="000000"/>
                    </a:solidFill>
                    <a:latin typeface="Arial"/>
                    <a:ea typeface="Arial"/>
                    <a:cs typeface="Arial"/>
                  </a:defRPr>
                </a:pPr>
                <a:r>
                  <a:rPr lang="en-NZ"/>
                  <a:t>Viability</a:t>
                </a:r>
              </a:p>
            </c:rich>
          </c:tx>
          <c:layout>
            <c:manualLayout>
              <c:xMode val="edge"/>
              <c:yMode val="edge"/>
              <c:x val="0.45219623511452761"/>
              <c:y val="0.930946463017424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13809664"/>
        <c:crosses val="autoZero"/>
        <c:crossBetween val="midCat"/>
        <c:majorUnit val="1"/>
        <c:minorUnit val="0.5"/>
      </c:valAx>
      <c:valAx>
        <c:axId val="113809664"/>
        <c:scaling>
          <c:orientation val="minMax"/>
          <c:max val="5"/>
          <c:min val="-1"/>
        </c:scaling>
        <c:delete val="0"/>
        <c:axPos val="l"/>
        <c:title>
          <c:tx>
            <c:rich>
              <a:bodyPr/>
              <a:lstStyle/>
              <a:p>
                <a:pPr>
                  <a:defRPr sz="950" b="1" i="0" u="none" strike="noStrike" baseline="0">
                    <a:solidFill>
                      <a:srgbClr val="000000"/>
                    </a:solidFill>
                    <a:latin typeface="Arial"/>
                    <a:ea typeface="Arial"/>
                    <a:cs typeface="Arial"/>
                  </a:defRPr>
                </a:pPr>
                <a:r>
                  <a:rPr lang="en-NZ"/>
                  <a:t>Sustainability</a:t>
                </a:r>
              </a:p>
            </c:rich>
          </c:tx>
          <c:layout>
            <c:manualLayout>
              <c:xMode val="edge"/>
              <c:yMode val="edge"/>
              <c:x val="2.0671822550371116E-2"/>
              <c:y val="0.37340132182272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13807744"/>
        <c:crosses val="autoZero"/>
        <c:crossBetween val="midCat"/>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NZ"/>
              <a:t>Viability - Historical and Future Views</a:t>
            </a:r>
          </a:p>
        </c:rich>
      </c:tx>
      <c:layout>
        <c:manualLayout>
          <c:xMode val="edge"/>
          <c:yMode val="edge"/>
          <c:x val="0.2602366476342356"/>
          <c:y val="3.9416125615876957E-2"/>
        </c:manualLayout>
      </c:layout>
      <c:overlay val="0"/>
      <c:spPr>
        <a:noFill/>
        <a:ln w="25400">
          <a:noFill/>
        </a:ln>
      </c:spPr>
    </c:title>
    <c:autoTitleDeleted val="0"/>
    <c:plotArea>
      <c:layout>
        <c:manualLayout>
          <c:layoutTarget val="inner"/>
          <c:xMode val="edge"/>
          <c:yMode val="edge"/>
          <c:x val="9.5840867992766726E-2"/>
          <c:y val="0.17982456140350878"/>
          <c:w val="0.8589511754068716"/>
          <c:h val="0.50438596491228072"/>
        </c:manualLayout>
      </c:layout>
      <c:lineChart>
        <c:grouping val="standard"/>
        <c:varyColors val="0"/>
        <c:ser>
          <c:idx val="0"/>
          <c:order val="0"/>
          <c:tx>
            <c:strRef>
              <c:f>Report!$AA$23:$AA$24</c:f>
              <c:strCache>
                <c:ptCount val="1"/>
                <c:pt idx="0">
                  <c:v>Historical Actual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numRef>
              <c:f>Report!$Z$25:$Z$32</c:f>
              <c:numCache>
                <c:formatCode>0</c:formatCode>
                <c:ptCount val="8"/>
                <c:pt idx="0">
                  <c:v>2006</c:v>
                </c:pt>
                <c:pt idx="1">
                  <c:v>2007</c:v>
                </c:pt>
                <c:pt idx="2">
                  <c:v>2008</c:v>
                </c:pt>
                <c:pt idx="3">
                  <c:v>2009</c:v>
                </c:pt>
                <c:pt idx="4">
                  <c:v>2010</c:v>
                </c:pt>
                <c:pt idx="5">
                  <c:v>2011</c:v>
                </c:pt>
                <c:pt idx="6">
                  <c:v>2012</c:v>
                </c:pt>
                <c:pt idx="7">
                  <c:v>2013</c:v>
                </c:pt>
              </c:numCache>
            </c:numRef>
          </c:cat>
          <c:val>
            <c:numRef>
              <c:f>Report!$AA$25:$AA$32</c:f>
              <c:numCache>
                <c:formatCode>#,##0.00</c:formatCode>
                <c:ptCount val="8"/>
                <c:pt idx="0">
                  <c:v>1.5</c:v>
                </c:pt>
                <c:pt idx="1">
                  <c:v>0.66666666666666663</c:v>
                </c:pt>
                <c:pt idx="2">
                  <c:v>0.25</c:v>
                </c:pt>
                <c:pt idx="3">
                  <c:v>1.8333333333333333</c:v>
                </c:pt>
                <c:pt idx="4">
                  <c:v>2.25</c:v>
                </c:pt>
              </c:numCache>
            </c:numRef>
          </c:val>
          <c:smooth val="0"/>
        </c:ser>
        <c:ser>
          <c:idx val="3"/>
          <c:order val="1"/>
          <c:tx>
            <c:strRef>
              <c:f>Report!$AB$23:$AB$24</c:f>
              <c:strCache>
                <c:ptCount val="1"/>
                <c:pt idx="0">
                  <c:v>Historical Trend</c:v>
                </c:pt>
              </c:strCache>
            </c:strRef>
          </c:tx>
          <c:spPr>
            <a:ln w="12700">
              <a:solidFill>
                <a:srgbClr val="000000"/>
              </a:solidFill>
              <a:prstDash val="sysDash"/>
            </a:ln>
          </c:spPr>
          <c:marker>
            <c:symbol val="none"/>
          </c:marker>
          <c:val>
            <c:numRef>
              <c:f>Report!$AB$25:$AB$32</c:f>
              <c:numCache>
                <c:formatCode>#,##0.00</c:formatCode>
                <c:ptCount val="8"/>
                <c:pt idx="0">
                  <c:v>0.92361111111111116</c:v>
                </c:pt>
                <c:pt idx="1">
                  <c:v>1.2430555555555554</c:v>
                </c:pt>
                <c:pt idx="2">
                  <c:v>1.5625</c:v>
                </c:pt>
                <c:pt idx="3">
                  <c:v>1.8819444444444442</c:v>
                </c:pt>
                <c:pt idx="4">
                  <c:v>2.2013888888888888</c:v>
                </c:pt>
              </c:numCache>
            </c:numRef>
          </c:val>
          <c:smooth val="0"/>
        </c:ser>
        <c:ser>
          <c:idx val="2"/>
          <c:order val="2"/>
          <c:tx>
            <c:strRef>
              <c:f>Report!$AC$23:$AC$24</c:f>
              <c:strCache>
                <c:ptCount val="1"/>
                <c:pt idx="0">
                  <c:v>Future Actual</c:v>
                </c:pt>
              </c:strCache>
            </c:strRef>
          </c:tx>
          <c:spPr>
            <a:ln w="12700">
              <a:solidFill>
                <a:srgbClr val="0066CC"/>
              </a:solidFill>
              <a:prstDash val="solid"/>
            </a:ln>
          </c:spPr>
          <c:marker>
            <c:symbol val="triangle"/>
            <c:size val="5"/>
            <c:spPr>
              <a:solidFill>
                <a:srgbClr val="0066CC"/>
              </a:solidFill>
              <a:ln>
                <a:solidFill>
                  <a:srgbClr val="0066CC"/>
                </a:solidFill>
                <a:prstDash val="solid"/>
              </a:ln>
            </c:spPr>
          </c:marker>
          <c:cat>
            <c:numRef>
              <c:f>Report!$Z$25:$Z$32</c:f>
              <c:numCache>
                <c:formatCode>0</c:formatCode>
                <c:ptCount val="8"/>
                <c:pt idx="0">
                  <c:v>2006</c:v>
                </c:pt>
                <c:pt idx="1">
                  <c:v>2007</c:v>
                </c:pt>
                <c:pt idx="2">
                  <c:v>2008</c:v>
                </c:pt>
                <c:pt idx="3">
                  <c:v>2009</c:v>
                </c:pt>
                <c:pt idx="4">
                  <c:v>2010</c:v>
                </c:pt>
                <c:pt idx="5">
                  <c:v>2011</c:v>
                </c:pt>
                <c:pt idx="6">
                  <c:v>2012</c:v>
                </c:pt>
                <c:pt idx="7">
                  <c:v>2013</c:v>
                </c:pt>
              </c:numCache>
            </c:numRef>
          </c:cat>
          <c:val>
            <c:numRef>
              <c:f>Report!$AC$25:$AC$32</c:f>
              <c:numCache>
                <c:formatCode>General</c:formatCode>
                <c:ptCount val="8"/>
                <c:pt idx="4" formatCode="#,##0.00">
                  <c:v>2.25</c:v>
                </c:pt>
                <c:pt idx="5" formatCode="#,##0.00">
                  <c:v>4</c:v>
                </c:pt>
                <c:pt idx="6" formatCode="#,##0.00">
                  <c:v>3.8333333333333335</c:v>
                </c:pt>
                <c:pt idx="7" formatCode="#,##0.00">
                  <c:v>4.333333333333333</c:v>
                </c:pt>
              </c:numCache>
            </c:numRef>
          </c:val>
          <c:smooth val="0"/>
        </c:ser>
        <c:ser>
          <c:idx val="1"/>
          <c:order val="3"/>
          <c:tx>
            <c:strRef>
              <c:f>Report!$AD$23:$AD$24</c:f>
              <c:strCache>
                <c:ptCount val="1"/>
                <c:pt idx="0">
                  <c:v>Future Trend</c:v>
                </c:pt>
              </c:strCache>
            </c:strRef>
          </c:tx>
          <c:spPr>
            <a:ln w="12700">
              <a:solidFill>
                <a:srgbClr val="0066CC"/>
              </a:solidFill>
              <a:prstDash val="sysDash"/>
            </a:ln>
          </c:spPr>
          <c:marker>
            <c:symbol val="none"/>
          </c:marker>
          <c:cat>
            <c:numRef>
              <c:f>Report!$Z$25:$Z$32</c:f>
              <c:numCache>
                <c:formatCode>0</c:formatCode>
                <c:ptCount val="8"/>
                <c:pt idx="0">
                  <c:v>2006</c:v>
                </c:pt>
                <c:pt idx="1">
                  <c:v>2007</c:v>
                </c:pt>
                <c:pt idx="2">
                  <c:v>2008</c:v>
                </c:pt>
                <c:pt idx="3">
                  <c:v>2009</c:v>
                </c:pt>
                <c:pt idx="4">
                  <c:v>2010</c:v>
                </c:pt>
                <c:pt idx="5">
                  <c:v>2011</c:v>
                </c:pt>
                <c:pt idx="6">
                  <c:v>2012</c:v>
                </c:pt>
                <c:pt idx="7">
                  <c:v>2013</c:v>
                </c:pt>
              </c:numCache>
            </c:numRef>
          </c:cat>
          <c:val>
            <c:numRef>
              <c:f>Report!$AD$25:$AD$32</c:f>
              <c:numCache>
                <c:formatCode>General</c:formatCode>
                <c:ptCount val="8"/>
                <c:pt idx="4" formatCode="#,##0.00">
                  <c:v>2.3819444444444446</c:v>
                </c:pt>
                <c:pt idx="5" formatCode="#,##0.00">
                  <c:v>3.0625</c:v>
                </c:pt>
                <c:pt idx="6" formatCode="#,##0.00">
                  <c:v>3.7430555555555554</c:v>
                </c:pt>
                <c:pt idx="7" formatCode="#,##0.00">
                  <c:v>4.4236111111111107</c:v>
                </c:pt>
              </c:numCache>
            </c:numRef>
          </c:val>
          <c:smooth val="0"/>
        </c:ser>
        <c:dLbls>
          <c:showLegendKey val="0"/>
          <c:showVal val="0"/>
          <c:showCatName val="0"/>
          <c:showSerName val="0"/>
          <c:showPercent val="0"/>
          <c:showBubbleSize val="0"/>
        </c:dLbls>
        <c:marker val="1"/>
        <c:smooth val="0"/>
        <c:axId val="113900928"/>
        <c:axId val="115377280"/>
      </c:lineChart>
      <c:catAx>
        <c:axId val="1139009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5377280"/>
        <c:crosses val="autoZero"/>
        <c:auto val="1"/>
        <c:lblAlgn val="ctr"/>
        <c:lblOffset val="100"/>
        <c:tickLblSkip val="1"/>
        <c:tickMarkSkip val="1"/>
        <c:noMultiLvlLbl val="0"/>
      </c:catAx>
      <c:valAx>
        <c:axId val="115377280"/>
        <c:scaling>
          <c:orientation val="minMax"/>
          <c:max val="5"/>
          <c:min val="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NZ"/>
                  <a:t>Overall Average Viability</a:t>
                </a:r>
              </a:p>
            </c:rich>
          </c:tx>
          <c:layout>
            <c:manualLayout>
              <c:xMode val="edge"/>
              <c:yMode val="edge"/>
              <c:x val="9.0415913200723331E-3"/>
              <c:y val="0.1271929824561403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3900928"/>
        <c:crosses val="autoZero"/>
        <c:crossBetween val="between"/>
        <c:majorUnit val="1"/>
      </c:valAx>
      <c:spPr>
        <a:noFill/>
        <a:ln w="12700">
          <a:solidFill>
            <a:srgbClr val="808080"/>
          </a:solidFill>
          <a:prstDash val="solid"/>
        </a:ln>
      </c:spPr>
    </c:plotArea>
    <c:legend>
      <c:legendPos val="b"/>
      <c:layout>
        <c:manualLayout>
          <c:xMode val="edge"/>
          <c:yMode val="edge"/>
          <c:x val="4.701627486437613E-2"/>
          <c:y val="0.84210526315789469"/>
          <c:w val="0.87341772151898733"/>
          <c:h val="9.210526315789469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800100</xdr:colOff>
      <xdr:row>113</xdr:row>
      <xdr:rowOff>114300</xdr:rowOff>
    </xdr:from>
    <xdr:to>
      <xdr:col>13</xdr:col>
      <xdr:colOff>0</xdr:colOff>
      <xdr:row>114</xdr:row>
      <xdr:rowOff>0</xdr:rowOff>
    </xdr:to>
    <xdr:sp macro="" textlink="">
      <xdr:nvSpPr>
        <xdr:cNvPr id="379507" name="Line 3"/>
        <xdr:cNvSpPr>
          <a:spLocks noChangeShapeType="1"/>
        </xdr:cNvSpPr>
      </xdr:nvSpPr>
      <xdr:spPr bwMode="auto">
        <a:xfrm flipV="1">
          <a:off x="9658350" y="23145750"/>
          <a:ext cx="61912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800100</xdr:colOff>
      <xdr:row>129</xdr:row>
      <xdr:rowOff>114300</xdr:rowOff>
    </xdr:from>
    <xdr:to>
      <xdr:col>13</xdr:col>
      <xdr:colOff>0</xdr:colOff>
      <xdr:row>130</xdr:row>
      <xdr:rowOff>0</xdr:rowOff>
    </xdr:to>
    <xdr:sp macro="" textlink="">
      <xdr:nvSpPr>
        <xdr:cNvPr id="379508" name="Line 5"/>
        <xdr:cNvSpPr>
          <a:spLocks noChangeShapeType="1"/>
        </xdr:cNvSpPr>
      </xdr:nvSpPr>
      <xdr:spPr bwMode="auto">
        <a:xfrm flipV="1">
          <a:off x="9658350" y="26203275"/>
          <a:ext cx="61912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723900</xdr:colOff>
      <xdr:row>117</xdr:row>
      <xdr:rowOff>114300</xdr:rowOff>
    </xdr:from>
    <xdr:to>
      <xdr:col>13</xdr:col>
      <xdr:colOff>0</xdr:colOff>
      <xdr:row>118</xdr:row>
      <xdr:rowOff>180975</xdr:rowOff>
    </xdr:to>
    <xdr:sp macro="" textlink="">
      <xdr:nvSpPr>
        <xdr:cNvPr id="379509" name="Line 6"/>
        <xdr:cNvSpPr>
          <a:spLocks noChangeShapeType="1"/>
        </xdr:cNvSpPr>
      </xdr:nvSpPr>
      <xdr:spPr bwMode="auto">
        <a:xfrm flipV="1">
          <a:off x="9582150" y="23907750"/>
          <a:ext cx="69532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800100</xdr:colOff>
      <xdr:row>114</xdr:row>
      <xdr:rowOff>104775</xdr:rowOff>
    </xdr:from>
    <xdr:to>
      <xdr:col>10</xdr:col>
      <xdr:colOff>219075</xdr:colOff>
      <xdr:row>116</xdr:row>
      <xdr:rowOff>0</xdr:rowOff>
    </xdr:to>
    <xdr:sp macro="" textlink="">
      <xdr:nvSpPr>
        <xdr:cNvPr id="379510" name="Line 8"/>
        <xdr:cNvSpPr>
          <a:spLocks noChangeShapeType="1"/>
        </xdr:cNvSpPr>
      </xdr:nvSpPr>
      <xdr:spPr bwMode="auto">
        <a:xfrm flipV="1">
          <a:off x="8334375" y="23326725"/>
          <a:ext cx="5143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800100</xdr:colOff>
      <xdr:row>125</xdr:row>
      <xdr:rowOff>104775</xdr:rowOff>
    </xdr:from>
    <xdr:to>
      <xdr:col>10</xdr:col>
      <xdr:colOff>200025</xdr:colOff>
      <xdr:row>128</xdr:row>
      <xdr:rowOff>0</xdr:rowOff>
    </xdr:to>
    <xdr:sp macro="" textlink="">
      <xdr:nvSpPr>
        <xdr:cNvPr id="379511" name="Line 9"/>
        <xdr:cNvSpPr>
          <a:spLocks noChangeShapeType="1"/>
        </xdr:cNvSpPr>
      </xdr:nvSpPr>
      <xdr:spPr bwMode="auto">
        <a:xfrm flipV="1">
          <a:off x="8334375" y="25422225"/>
          <a:ext cx="4953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117</xdr:row>
      <xdr:rowOff>38100</xdr:rowOff>
    </xdr:from>
    <xdr:to>
      <xdr:col>11</xdr:col>
      <xdr:colOff>9525</xdr:colOff>
      <xdr:row>119</xdr:row>
      <xdr:rowOff>104775</xdr:rowOff>
    </xdr:to>
    <xdr:sp macro="" textlink="">
      <xdr:nvSpPr>
        <xdr:cNvPr id="379512" name="Line 11"/>
        <xdr:cNvSpPr>
          <a:spLocks noChangeShapeType="1"/>
        </xdr:cNvSpPr>
      </xdr:nvSpPr>
      <xdr:spPr bwMode="auto">
        <a:xfrm>
          <a:off x="8324850" y="23831550"/>
          <a:ext cx="5429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129</xdr:row>
      <xdr:rowOff>38100</xdr:rowOff>
    </xdr:from>
    <xdr:to>
      <xdr:col>11</xdr:col>
      <xdr:colOff>9525</xdr:colOff>
      <xdr:row>130</xdr:row>
      <xdr:rowOff>104775</xdr:rowOff>
    </xdr:to>
    <xdr:sp macro="" textlink="">
      <xdr:nvSpPr>
        <xdr:cNvPr id="379513" name="Line 12"/>
        <xdr:cNvSpPr>
          <a:spLocks noChangeShapeType="1"/>
        </xdr:cNvSpPr>
      </xdr:nvSpPr>
      <xdr:spPr bwMode="auto">
        <a:xfrm>
          <a:off x="8324850" y="26127075"/>
          <a:ext cx="54292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800100</xdr:colOff>
      <xdr:row>115</xdr:row>
      <xdr:rowOff>9525</xdr:rowOff>
    </xdr:from>
    <xdr:to>
      <xdr:col>13</xdr:col>
      <xdr:colOff>0</xdr:colOff>
      <xdr:row>115</xdr:row>
      <xdr:rowOff>104775</xdr:rowOff>
    </xdr:to>
    <xdr:sp macro="" textlink="">
      <xdr:nvSpPr>
        <xdr:cNvPr id="379514" name="Line 15"/>
        <xdr:cNvSpPr>
          <a:spLocks noChangeShapeType="1"/>
        </xdr:cNvSpPr>
      </xdr:nvSpPr>
      <xdr:spPr bwMode="auto">
        <a:xfrm>
          <a:off x="9658350" y="23421975"/>
          <a:ext cx="619125"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752475</xdr:colOff>
      <xdr:row>120</xdr:row>
      <xdr:rowOff>28575</xdr:rowOff>
    </xdr:from>
    <xdr:to>
      <xdr:col>13</xdr:col>
      <xdr:colOff>0</xdr:colOff>
      <xdr:row>121</xdr:row>
      <xdr:rowOff>104775</xdr:rowOff>
    </xdr:to>
    <xdr:sp macro="" textlink="">
      <xdr:nvSpPr>
        <xdr:cNvPr id="379515" name="Line 16"/>
        <xdr:cNvSpPr>
          <a:spLocks noChangeShapeType="1"/>
        </xdr:cNvSpPr>
      </xdr:nvSpPr>
      <xdr:spPr bwMode="auto">
        <a:xfrm>
          <a:off x="9610725" y="24393525"/>
          <a:ext cx="6667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800100</xdr:colOff>
      <xdr:row>131</xdr:row>
      <xdr:rowOff>9525</xdr:rowOff>
    </xdr:from>
    <xdr:to>
      <xdr:col>13</xdr:col>
      <xdr:colOff>0</xdr:colOff>
      <xdr:row>131</xdr:row>
      <xdr:rowOff>104775</xdr:rowOff>
    </xdr:to>
    <xdr:sp macro="" textlink="">
      <xdr:nvSpPr>
        <xdr:cNvPr id="379516" name="Line 18"/>
        <xdr:cNvSpPr>
          <a:spLocks noChangeShapeType="1"/>
        </xdr:cNvSpPr>
      </xdr:nvSpPr>
      <xdr:spPr bwMode="auto">
        <a:xfrm>
          <a:off x="9658350" y="26479500"/>
          <a:ext cx="619125"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1057275</xdr:colOff>
      <xdr:row>119</xdr:row>
      <xdr:rowOff>85725</xdr:rowOff>
    </xdr:from>
    <xdr:to>
      <xdr:col>12</xdr:col>
      <xdr:colOff>304800</xdr:colOff>
      <xdr:row>119</xdr:row>
      <xdr:rowOff>85725</xdr:rowOff>
    </xdr:to>
    <xdr:sp macro="" textlink="">
      <xdr:nvSpPr>
        <xdr:cNvPr id="379517" name="Line 19"/>
        <xdr:cNvSpPr>
          <a:spLocks noChangeShapeType="1"/>
        </xdr:cNvSpPr>
      </xdr:nvSpPr>
      <xdr:spPr bwMode="auto">
        <a:xfrm flipV="1">
          <a:off x="9915525" y="242601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752475</xdr:colOff>
      <xdr:row>126</xdr:row>
      <xdr:rowOff>28575</xdr:rowOff>
    </xdr:from>
    <xdr:to>
      <xdr:col>13</xdr:col>
      <xdr:colOff>0</xdr:colOff>
      <xdr:row>127</xdr:row>
      <xdr:rowOff>104775</xdr:rowOff>
    </xdr:to>
    <xdr:sp macro="" textlink="">
      <xdr:nvSpPr>
        <xdr:cNvPr id="379518" name="Line 20"/>
        <xdr:cNvSpPr>
          <a:spLocks noChangeShapeType="1"/>
        </xdr:cNvSpPr>
      </xdr:nvSpPr>
      <xdr:spPr bwMode="auto">
        <a:xfrm>
          <a:off x="9610725" y="25546050"/>
          <a:ext cx="6667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723900</xdr:colOff>
      <xdr:row>123</xdr:row>
      <xdr:rowOff>76200</xdr:rowOff>
    </xdr:from>
    <xdr:to>
      <xdr:col>13</xdr:col>
      <xdr:colOff>0</xdr:colOff>
      <xdr:row>124</xdr:row>
      <xdr:rowOff>142875</xdr:rowOff>
    </xdr:to>
    <xdr:sp macro="" textlink="">
      <xdr:nvSpPr>
        <xdr:cNvPr id="379519" name="Line 21"/>
        <xdr:cNvSpPr>
          <a:spLocks noChangeShapeType="1"/>
        </xdr:cNvSpPr>
      </xdr:nvSpPr>
      <xdr:spPr bwMode="auto">
        <a:xfrm flipV="1">
          <a:off x="9582150" y="25012650"/>
          <a:ext cx="69532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333375</xdr:colOff>
      <xdr:row>253</xdr:row>
      <xdr:rowOff>76200</xdr:rowOff>
    </xdr:from>
    <xdr:to>
      <xdr:col>26</xdr:col>
      <xdr:colOff>657225</xdr:colOff>
      <xdr:row>253</xdr:row>
      <xdr:rowOff>76200</xdr:rowOff>
    </xdr:to>
    <xdr:sp macro="" textlink="">
      <xdr:nvSpPr>
        <xdr:cNvPr id="379520" name="Line 22"/>
        <xdr:cNvSpPr>
          <a:spLocks noChangeShapeType="1"/>
        </xdr:cNvSpPr>
      </xdr:nvSpPr>
      <xdr:spPr bwMode="auto">
        <a:xfrm flipV="1">
          <a:off x="19116675" y="497871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333375</xdr:colOff>
      <xdr:row>253</xdr:row>
      <xdr:rowOff>76200</xdr:rowOff>
    </xdr:from>
    <xdr:to>
      <xdr:col>26</xdr:col>
      <xdr:colOff>657225</xdr:colOff>
      <xdr:row>253</xdr:row>
      <xdr:rowOff>76200</xdr:rowOff>
    </xdr:to>
    <xdr:sp macro="" textlink="">
      <xdr:nvSpPr>
        <xdr:cNvPr id="379521" name="Line 23"/>
        <xdr:cNvSpPr>
          <a:spLocks noChangeShapeType="1"/>
        </xdr:cNvSpPr>
      </xdr:nvSpPr>
      <xdr:spPr bwMode="auto">
        <a:xfrm flipV="1">
          <a:off x="19116675" y="497871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676275</xdr:colOff>
      <xdr:row>253</xdr:row>
      <xdr:rowOff>76200</xdr:rowOff>
    </xdr:from>
    <xdr:to>
      <xdr:col>27</xdr:col>
      <xdr:colOff>238125</xdr:colOff>
      <xdr:row>253</xdr:row>
      <xdr:rowOff>76200</xdr:rowOff>
    </xdr:to>
    <xdr:sp macro="" textlink="">
      <xdr:nvSpPr>
        <xdr:cNvPr id="379522" name="Line 24"/>
        <xdr:cNvSpPr>
          <a:spLocks noChangeShapeType="1"/>
        </xdr:cNvSpPr>
      </xdr:nvSpPr>
      <xdr:spPr bwMode="auto">
        <a:xfrm flipV="1">
          <a:off x="19459575" y="497871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333375</xdr:colOff>
      <xdr:row>253</xdr:row>
      <xdr:rowOff>76200</xdr:rowOff>
    </xdr:from>
    <xdr:to>
      <xdr:col>26</xdr:col>
      <xdr:colOff>657225</xdr:colOff>
      <xdr:row>253</xdr:row>
      <xdr:rowOff>76200</xdr:rowOff>
    </xdr:to>
    <xdr:sp macro="" textlink="">
      <xdr:nvSpPr>
        <xdr:cNvPr id="379523" name="Line 25"/>
        <xdr:cNvSpPr>
          <a:spLocks noChangeShapeType="1"/>
        </xdr:cNvSpPr>
      </xdr:nvSpPr>
      <xdr:spPr bwMode="auto">
        <a:xfrm flipV="1">
          <a:off x="19116675" y="497871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219075</xdr:colOff>
      <xdr:row>250</xdr:row>
      <xdr:rowOff>76200</xdr:rowOff>
    </xdr:from>
    <xdr:to>
      <xdr:col>23</xdr:col>
      <xdr:colOff>542925</xdr:colOff>
      <xdr:row>250</xdr:row>
      <xdr:rowOff>76200</xdr:rowOff>
    </xdr:to>
    <xdr:sp macro="" textlink="">
      <xdr:nvSpPr>
        <xdr:cNvPr id="379524" name="Line 26"/>
        <xdr:cNvSpPr>
          <a:spLocks noChangeShapeType="1"/>
        </xdr:cNvSpPr>
      </xdr:nvSpPr>
      <xdr:spPr bwMode="auto">
        <a:xfrm flipV="1">
          <a:off x="16716375" y="492156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125</xdr:row>
      <xdr:rowOff>95250</xdr:rowOff>
    </xdr:from>
    <xdr:to>
      <xdr:col>12</xdr:col>
      <xdr:colOff>304800</xdr:colOff>
      <xdr:row>125</xdr:row>
      <xdr:rowOff>104775</xdr:rowOff>
    </xdr:to>
    <xdr:sp macro="" textlink="">
      <xdr:nvSpPr>
        <xdr:cNvPr id="379525" name="Line 27"/>
        <xdr:cNvSpPr>
          <a:spLocks noChangeShapeType="1"/>
        </xdr:cNvSpPr>
      </xdr:nvSpPr>
      <xdr:spPr bwMode="auto">
        <a:xfrm>
          <a:off x="9963150" y="25412700"/>
          <a:ext cx="2762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43</xdr:row>
      <xdr:rowOff>19050</xdr:rowOff>
    </xdr:from>
    <xdr:to>
      <xdr:col>5</xdr:col>
      <xdr:colOff>400050</xdr:colOff>
      <xdr:row>59</xdr:row>
      <xdr:rowOff>19050</xdr:rowOff>
    </xdr:to>
    <xdr:graphicFrame macro="">
      <xdr:nvGraphicFramePr>
        <xdr:cNvPr id="39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43</xdr:row>
      <xdr:rowOff>19050</xdr:rowOff>
    </xdr:from>
    <xdr:to>
      <xdr:col>12</xdr:col>
      <xdr:colOff>752475</xdr:colOff>
      <xdr:row>54</xdr:row>
      <xdr:rowOff>95250</xdr:rowOff>
    </xdr:to>
    <xdr:graphicFrame macro="">
      <xdr:nvGraphicFramePr>
        <xdr:cNvPr id="39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xdr:colOff>
      <xdr:row>1</xdr:row>
      <xdr:rowOff>9525</xdr:rowOff>
    </xdr:from>
    <xdr:to>
      <xdr:col>12</xdr:col>
      <xdr:colOff>752475</xdr:colOff>
      <xdr:row>3</xdr:row>
      <xdr:rowOff>180975</xdr:rowOff>
    </xdr:to>
    <xdr:pic>
      <xdr:nvPicPr>
        <xdr:cNvPr id="3914" name="Picture 1" descr="TEC logo - Horizontal, black and whit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133350"/>
          <a:ext cx="22479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662517</xdr:colOff>
      <xdr:row>49</xdr:row>
      <xdr:rowOff>63500</xdr:rowOff>
    </xdr:from>
    <xdr:ext cx="1061188" cy="239809"/>
    <xdr:sp macro="" textlink="">
      <xdr:nvSpPr>
        <xdr:cNvPr id="5" name="TextBox 4"/>
        <xdr:cNvSpPr txBox="1"/>
      </xdr:nvSpPr>
      <xdr:spPr>
        <a:xfrm>
          <a:off x="2319867" y="9750425"/>
          <a:ext cx="1061188" cy="2398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NZ" sz="1000" b="1">
              <a:latin typeface="Arial" pitchFamily="34" charset="0"/>
              <a:cs typeface="Arial" pitchFamily="34" charset="0"/>
            </a:rPr>
            <a:t>Moderate Risk</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0.52522</cdr:x>
      <cdr:y>0.07681</cdr:y>
    </cdr:from>
    <cdr:to>
      <cdr:x>0.6637</cdr:x>
      <cdr:y>0.48394</cdr:y>
    </cdr:to>
    <cdr:sp macro="" textlink="">
      <cdr:nvSpPr>
        <cdr:cNvPr id="113665" name="Rectangle 3"/>
        <cdr:cNvSpPr>
          <a:spLocks xmlns:a="http://schemas.openxmlformats.org/drawingml/2006/main" noChangeAspect="1" noChangeArrowheads="1"/>
        </cdr:cNvSpPr>
      </cdr:nvSpPr>
      <cdr:spPr bwMode="auto">
        <a:xfrm xmlns:a="http://schemas.openxmlformats.org/drawingml/2006/main">
          <a:off x="1685926" y="242888"/>
          <a:ext cx="444500" cy="1287462"/>
        </a:xfrm>
        <a:prstGeom xmlns:a="http://schemas.openxmlformats.org/drawingml/2006/main" prst="rect">
          <a:avLst/>
        </a:prstGeom>
        <a:solidFill xmlns:a="http://schemas.openxmlformats.org/drawingml/2006/main">
          <a:srgbClr val="FF9900">
            <a:alpha val="25098"/>
          </a:srgbClr>
        </a:solidFill>
        <a:ln xmlns:a="http://schemas.openxmlformats.org/drawingml/2006/main" w="9525" algn="ctr">
          <a:noFill/>
          <a:miter lim="800000"/>
          <a:headEnd/>
          <a:tailEn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0.52621</cdr:x>
      <cdr:y>0.48419</cdr:y>
    </cdr:from>
    <cdr:to>
      <cdr:x>0.93917</cdr:x>
      <cdr:y>0.89142</cdr:y>
    </cdr:to>
    <cdr:sp macro="" textlink="">
      <cdr:nvSpPr>
        <cdr:cNvPr id="113666" name="Rectangle 2"/>
        <cdr:cNvSpPr>
          <a:spLocks xmlns:a="http://schemas.openxmlformats.org/drawingml/2006/main" noChangeAspect="1" noChangeArrowheads="1"/>
        </cdr:cNvSpPr>
      </cdr:nvSpPr>
      <cdr:spPr bwMode="auto">
        <a:xfrm xmlns:a="http://schemas.openxmlformats.org/drawingml/2006/main">
          <a:off x="1689100" y="1531144"/>
          <a:ext cx="1325563" cy="1287792"/>
        </a:xfrm>
        <a:prstGeom xmlns:a="http://schemas.openxmlformats.org/drawingml/2006/main" prst="rect">
          <a:avLst/>
        </a:prstGeom>
        <a:solidFill xmlns:a="http://schemas.openxmlformats.org/drawingml/2006/main">
          <a:srgbClr val="FF0000">
            <a:alpha val="30196"/>
          </a:srgbClr>
        </a:solidFill>
        <a:ln xmlns:a="http://schemas.openxmlformats.org/drawingml/2006/main" w="9525" algn="ctr">
          <a:noFill/>
          <a:miter lim="800000"/>
          <a:headEnd/>
          <a:tailEn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0.66271</cdr:x>
      <cdr:y>0.0753</cdr:y>
    </cdr:from>
    <cdr:to>
      <cdr:x>0.93769</cdr:x>
      <cdr:y>0.34639</cdr:y>
    </cdr:to>
    <cdr:sp macro="" textlink="">
      <cdr:nvSpPr>
        <cdr:cNvPr id="113667" name="Rectangle 5"/>
        <cdr:cNvSpPr>
          <a:spLocks xmlns:a="http://schemas.openxmlformats.org/drawingml/2006/main" noChangeAspect="1" noChangeArrowheads="1"/>
        </cdr:cNvSpPr>
      </cdr:nvSpPr>
      <cdr:spPr bwMode="auto">
        <a:xfrm xmlns:a="http://schemas.openxmlformats.org/drawingml/2006/main">
          <a:off x="2127251" y="238125"/>
          <a:ext cx="882650" cy="857250"/>
        </a:xfrm>
        <a:prstGeom xmlns:a="http://schemas.openxmlformats.org/drawingml/2006/main" prst="rect">
          <a:avLst/>
        </a:prstGeom>
        <a:solidFill xmlns:a="http://schemas.openxmlformats.org/drawingml/2006/main">
          <a:srgbClr val="00FF00">
            <a:alpha val="14902"/>
          </a:srgbClr>
        </a:solidFill>
        <a:ln xmlns:a="http://schemas.openxmlformats.org/drawingml/2006/main" w="9525" algn="ctr">
          <a:noFill/>
          <a:miter lim="800000"/>
          <a:headEnd/>
          <a:tailEn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0.11279</cdr:x>
      <cdr:y>0.07631</cdr:y>
    </cdr:from>
    <cdr:to>
      <cdr:x>0.52621</cdr:x>
      <cdr:y>0.89067</cdr:y>
    </cdr:to>
    <cdr:sp macro="" textlink="">
      <cdr:nvSpPr>
        <cdr:cNvPr id="113668" name="Rectangle 1"/>
        <cdr:cNvSpPr>
          <a:spLocks xmlns:a="http://schemas.openxmlformats.org/drawingml/2006/main" noChangeAspect="1" noChangeArrowheads="1"/>
        </cdr:cNvSpPr>
      </cdr:nvSpPr>
      <cdr:spPr bwMode="auto">
        <a:xfrm xmlns:a="http://schemas.openxmlformats.org/drawingml/2006/main">
          <a:off x="362053" y="241300"/>
          <a:ext cx="1327047" cy="2575255"/>
        </a:xfrm>
        <a:prstGeom xmlns:a="http://schemas.openxmlformats.org/drawingml/2006/main" prst="rect">
          <a:avLst/>
        </a:prstGeom>
        <a:solidFill xmlns:a="http://schemas.openxmlformats.org/drawingml/2006/main">
          <a:srgbClr val="FF0000">
            <a:alpha val="30196"/>
          </a:srgbClr>
        </a:solidFill>
        <a:ln xmlns:a="http://schemas.openxmlformats.org/drawingml/2006/main" w="9525" algn="ctr">
          <a:noFill/>
          <a:miter lim="800000"/>
          <a:headEnd/>
          <a:tailEn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0.6637</cdr:x>
      <cdr:y>0.34538</cdr:y>
    </cdr:from>
    <cdr:to>
      <cdr:x>0.93917</cdr:x>
      <cdr:y>0.48494</cdr:y>
    </cdr:to>
    <cdr:sp macro="" textlink="">
      <cdr:nvSpPr>
        <cdr:cNvPr id="113669" name="Rectangle 4"/>
        <cdr:cNvSpPr>
          <a:spLocks xmlns:a="http://schemas.openxmlformats.org/drawingml/2006/main" noChangeAspect="1" noChangeArrowheads="1"/>
        </cdr:cNvSpPr>
      </cdr:nvSpPr>
      <cdr:spPr bwMode="auto">
        <a:xfrm xmlns:a="http://schemas.openxmlformats.org/drawingml/2006/main">
          <a:off x="2130425" y="1092200"/>
          <a:ext cx="884238" cy="441325"/>
        </a:xfrm>
        <a:prstGeom xmlns:a="http://schemas.openxmlformats.org/drawingml/2006/main" prst="rect">
          <a:avLst/>
        </a:prstGeom>
        <a:solidFill xmlns:a="http://schemas.openxmlformats.org/drawingml/2006/main">
          <a:srgbClr val="FF9900">
            <a:alpha val="25098"/>
          </a:srgbClr>
        </a:solidFill>
        <a:ln xmlns:a="http://schemas.openxmlformats.org/drawingml/2006/main" w="9525" algn="ctr">
          <a:noFill/>
          <a:miter lim="800000"/>
          <a:headEnd/>
          <a:tailEn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0.67755</cdr:x>
      <cdr:y>0.17193</cdr:y>
    </cdr:from>
    <cdr:to>
      <cdr:x>0.92784</cdr:x>
      <cdr:y>0.25023</cdr:y>
    </cdr:to>
    <cdr:sp macro="" textlink="">
      <cdr:nvSpPr>
        <cdr:cNvPr id="7" name="TextBox 6"/>
        <cdr:cNvSpPr txBox="1"/>
      </cdr:nvSpPr>
      <cdr:spPr>
        <a:xfrm xmlns:a="http://schemas.openxmlformats.org/drawingml/2006/main">
          <a:off x="2130424" y="531283"/>
          <a:ext cx="802216" cy="2540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NZ" sz="1000" b="1">
              <a:latin typeface="Arial" pitchFamily="34" charset="0"/>
              <a:cs typeface="Arial" pitchFamily="34" charset="0"/>
            </a:rPr>
            <a:t>Low Risk</a:t>
          </a:r>
        </a:p>
      </cdr:txBody>
    </cdr:sp>
  </cdr:relSizeAnchor>
  <cdr:relSizeAnchor xmlns:cdr="http://schemas.openxmlformats.org/drawingml/2006/chartDrawing">
    <cdr:from>
      <cdr:x>0.68068</cdr:x>
      <cdr:y>0.5994</cdr:y>
    </cdr:from>
    <cdr:to>
      <cdr:x>0.93121</cdr:x>
      <cdr:y>0.6808</cdr:y>
    </cdr:to>
    <cdr:sp macro="" textlink="">
      <cdr:nvSpPr>
        <cdr:cNvPr id="8" name="TextBox 7"/>
        <cdr:cNvSpPr txBox="1"/>
      </cdr:nvSpPr>
      <cdr:spPr>
        <a:xfrm xmlns:a="http://schemas.openxmlformats.org/drawingml/2006/main">
          <a:off x="2141008" y="1917700"/>
          <a:ext cx="802217" cy="2645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NZ" sz="1000" b="1">
              <a:latin typeface="Arial" pitchFamily="34" charset="0"/>
              <a:cs typeface="Arial" pitchFamily="34" charset="0"/>
            </a:rPr>
            <a:t>High Risk</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9900">
            <a:alpha val="35001"/>
          </a:srgbClr>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9900">
            <a:alpha val="35001"/>
          </a:srgbClr>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36"/>
  <sheetViews>
    <sheetView showGridLines="0" zoomScale="80" zoomScaleNormal="80" workbookViewId="0">
      <selection activeCell="F13" sqref="F13"/>
    </sheetView>
  </sheetViews>
  <sheetFormatPr defaultRowHeight="15" x14ac:dyDescent="0.2"/>
  <cols>
    <col min="1" max="1" width="3.33203125" customWidth="1"/>
    <col min="3" max="3" width="4.77734375" customWidth="1"/>
    <col min="4" max="4" width="12.5546875" customWidth="1"/>
    <col min="5" max="5" width="27.21875" customWidth="1"/>
  </cols>
  <sheetData>
    <row r="1" spans="2:6" ht="15.75" thickBot="1" x14ac:dyDescent="0.25"/>
    <row r="2" spans="2:6" ht="6.75" customHeight="1" x14ac:dyDescent="0.2">
      <c r="B2" s="159"/>
      <c r="C2" s="160"/>
      <c r="D2" s="160"/>
      <c r="E2" s="160"/>
      <c r="F2" s="161"/>
    </row>
    <row r="3" spans="2:6" ht="20.25" x14ac:dyDescent="0.3">
      <c r="B3" s="162"/>
      <c r="C3" s="354" t="s">
        <v>330</v>
      </c>
      <c r="D3" s="355"/>
      <c r="E3" s="355"/>
      <c r="F3" s="134"/>
    </row>
    <row r="4" spans="2:6" ht="20.25" x14ac:dyDescent="0.3">
      <c r="B4" s="162"/>
      <c r="C4" s="354" t="s">
        <v>292</v>
      </c>
      <c r="D4" s="355"/>
      <c r="E4" s="355"/>
      <c r="F4" s="134"/>
    </row>
    <row r="5" spans="2:6" ht="20.25" x14ac:dyDescent="0.3">
      <c r="B5" s="162"/>
      <c r="C5" s="354" t="s">
        <v>331</v>
      </c>
      <c r="D5" s="355"/>
      <c r="E5" s="355"/>
      <c r="F5" s="134"/>
    </row>
    <row r="6" spans="2:6" ht="7.5" customHeight="1" x14ac:dyDescent="0.2">
      <c r="B6" s="162"/>
      <c r="C6" s="103"/>
      <c r="D6" s="103"/>
      <c r="E6" s="103"/>
      <c r="F6" s="134"/>
    </row>
    <row r="7" spans="2:6" x14ac:dyDescent="0.2">
      <c r="B7" s="162"/>
      <c r="C7" s="103"/>
      <c r="D7" s="103"/>
      <c r="E7" s="103"/>
      <c r="F7" s="134"/>
    </row>
    <row r="8" spans="2:6" ht="15.75" x14ac:dyDescent="0.25">
      <c r="B8" s="162"/>
      <c r="C8" s="163" t="s">
        <v>376</v>
      </c>
      <c r="D8" s="103"/>
      <c r="E8" s="103"/>
      <c r="F8" s="134"/>
    </row>
    <row r="9" spans="2:6" x14ac:dyDescent="0.2">
      <c r="B9" s="162"/>
      <c r="C9" s="103"/>
      <c r="D9" s="164" t="s">
        <v>378</v>
      </c>
      <c r="E9" s="103"/>
      <c r="F9" s="134"/>
    </row>
    <row r="10" spans="2:6" x14ac:dyDescent="0.2">
      <c r="B10" s="162"/>
      <c r="C10" s="103"/>
      <c r="D10" s="103"/>
      <c r="E10" s="164" t="s">
        <v>385</v>
      </c>
      <c r="F10" s="134"/>
    </row>
    <row r="11" spans="2:6" x14ac:dyDescent="0.2">
      <c r="B11" s="162"/>
      <c r="C11" s="103"/>
      <c r="D11" s="103"/>
      <c r="E11" s="169" t="s">
        <v>388</v>
      </c>
      <c r="F11" s="134"/>
    </row>
    <row r="12" spans="2:6" x14ac:dyDescent="0.2">
      <c r="B12" s="162"/>
      <c r="C12" s="103"/>
      <c r="D12" s="103"/>
      <c r="E12" s="164" t="s">
        <v>387</v>
      </c>
      <c r="F12" s="134"/>
    </row>
    <row r="13" spans="2:6" x14ac:dyDescent="0.2">
      <c r="B13" s="162"/>
      <c r="C13" s="103"/>
      <c r="D13" s="103"/>
      <c r="E13" s="164" t="s">
        <v>396</v>
      </c>
      <c r="F13" s="134"/>
    </row>
    <row r="14" spans="2:6" x14ac:dyDescent="0.2">
      <c r="B14" s="162"/>
      <c r="C14" s="103"/>
      <c r="D14" s="103"/>
      <c r="E14" s="164" t="s">
        <v>392</v>
      </c>
      <c r="F14" s="134"/>
    </row>
    <row r="15" spans="2:6" x14ac:dyDescent="0.2">
      <c r="B15" s="162"/>
      <c r="C15" s="103"/>
      <c r="D15" s="103"/>
      <c r="E15" s="164" t="s">
        <v>390</v>
      </c>
      <c r="F15" s="134"/>
    </row>
    <row r="16" spans="2:6" x14ac:dyDescent="0.2">
      <c r="B16" s="162"/>
      <c r="C16" s="103"/>
      <c r="F16" s="134"/>
    </row>
    <row r="17" spans="2:6" ht="15.75" x14ac:dyDescent="0.25">
      <c r="B17" s="162"/>
      <c r="C17" s="163" t="s">
        <v>363</v>
      </c>
      <c r="D17" s="103"/>
      <c r="E17" s="103"/>
      <c r="F17" s="134"/>
    </row>
    <row r="18" spans="2:6" x14ac:dyDescent="0.2">
      <c r="B18" s="162"/>
      <c r="C18" s="103"/>
      <c r="D18" s="164" t="s">
        <v>358</v>
      </c>
      <c r="E18" s="103"/>
      <c r="F18" s="134"/>
    </row>
    <row r="19" spans="2:6" x14ac:dyDescent="0.2">
      <c r="B19" s="162"/>
      <c r="C19" s="103"/>
      <c r="D19" s="103"/>
      <c r="E19" s="164" t="s">
        <v>359</v>
      </c>
      <c r="F19" s="134"/>
    </row>
    <row r="20" spans="2:6" x14ac:dyDescent="0.2">
      <c r="B20" s="162"/>
      <c r="C20" s="103"/>
      <c r="D20" s="103"/>
      <c r="E20" s="164" t="s">
        <v>360</v>
      </c>
      <c r="F20" s="134"/>
    </row>
    <row r="21" spans="2:6" x14ac:dyDescent="0.2">
      <c r="B21" s="162"/>
      <c r="C21" s="103"/>
      <c r="D21" s="103"/>
      <c r="E21" s="103"/>
      <c r="F21" s="134"/>
    </row>
    <row r="22" spans="2:6" ht="15.75" x14ac:dyDescent="0.25">
      <c r="B22" s="162"/>
      <c r="C22" s="163" t="s">
        <v>361</v>
      </c>
      <c r="D22" s="103"/>
      <c r="E22" s="103"/>
      <c r="F22" s="134"/>
    </row>
    <row r="23" spans="2:6" x14ac:dyDescent="0.2">
      <c r="B23" s="162"/>
      <c r="C23" s="103"/>
      <c r="D23" s="164" t="s">
        <v>362</v>
      </c>
      <c r="E23" s="103"/>
      <c r="F23" s="134"/>
    </row>
    <row r="24" spans="2:6" x14ac:dyDescent="0.2">
      <c r="B24" s="162"/>
      <c r="C24" s="103"/>
      <c r="D24" s="103"/>
      <c r="E24" s="164" t="s">
        <v>364</v>
      </c>
      <c r="F24" s="134"/>
    </row>
    <row r="25" spans="2:6" x14ac:dyDescent="0.2">
      <c r="B25" s="162"/>
      <c r="C25" s="103"/>
      <c r="D25" s="103"/>
      <c r="E25" s="164" t="s">
        <v>365</v>
      </c>
      <c r="F25" s="134"/>
    </row>
    <row r="26" spans="2:6" x14ac:dyDescent="0.2">
      <c r="B26" s="162"/>
      <c r="C26" s="103"/>
      <c r="D26" s="103"/>
      <c r="E26" s="164" t="s">
        <v>366</v>
      </c>
      <c r="F26" s="134"/>
    </row>
    <row r="27" spans="2:6" x14ac:dyDescent="0.2">
      <c r="B27" s="162"/>
      <c r="C27" s="103"/>
      <c r="D27" s="103"/>
      <c r="E27" s="164" t="s">
        <v>367</v>
      </c>
      <c r="F27" s="134"/>
    </row>
    <row r="28" spans="2:6" x14ac:dyDescent="0.2">
      <c r="B28" s="162"/>
      <c r="C28" s="103"/>
      <c r="D28" s="103"/>
      <c r="E28" s="103"/>
      <c r="F28" s="134"/>
    </row>
    <row r="29" spans="2:6" ht="15.75" x14ac:dyDescent="0.25">
      <c r="B29" s="162"/>
      <c r="C29" s="163" t="s">
        <v>368</v>
      </c>
      <c r="D29" s="103"/>
      <c r="E29" s="103"/>
      <c r="F29" s="134"/>
    </row>
    <row r="30" spans="2:6" x14ac:dyDescent="0.2">
      <c r="B30" s="162"/>
      <c r="C30" s="103"/>
      <c r="D30" s="164" t="s">
        <v>369</v>
      </c>
      <c r="E30" s="103"/>
      <c r="F30" s="134"/>
    </row>
    <row r="31" spans="2:6" x14ac:dyDescent="0.2">
      <c r="B31" s="162"/>
      <c r="C31" s="103"/>
      <c r="D31" s="164"/>
      <c r="E31" s="164" t="s">
        <v>396</v>
      </c>
      <c r="F31" s="134"/>
    </row>
    <row r="32" spans="2:6" x14ac:dyDescent="0.2">
      <c r="B32" s="162"/>
      <c r="C32" s="103"/>
      <c r="D32" s="164"/>
      <c r="E32" s="103"/>
      <c r="F32" s="134"/>
    </row>
    <row r="33" spans="2:6" ht="15.75" x14ac:dyDescent="0.25">
      <c r="B33" s="162"/>
      <c r="C33" s="163" t="s">
        <v>370</v>
      </c>
      <c r="D33" s="103"/>
      <c r="E33" s="103"/>
      <c r="F33" s="134"/>
    </row>
    <row r="34" spans="2:6" x14ac:dyDescent="0.2">
      <c r="B34" s="162"/>
      <c r="C34" s="103"/>
      <c r="D34" s="164" t="s">
        <v>371</v>
      </c>
      <c r="E34" s="103"/>
      <c r="F34" s="134"/>
    </row>
    <row r="35" spans="2:6" x14ac:dyDescent="0.2">
      <c r="B35" s="162"/>
      <c r="C35" s="103"/>
      <c r="D35" s="164"/>
      <c r="E35" s="164" t="s">
        <v>386</v>
      </c>
      <c r="F35" s="134"/>
    </row>
    <row r="36" spans="2:6" ht="15.75" thickBot="1" x14ac:dyDescent="0.25">
      <c r="B36" s="165"/>
      <c r="C36" s="166"/>
      <c r="D36" s="166"/>
      <c r="E36" s="166"/>
      <c r="F36" s="167"/>
    </row>
  </sheetData>
  <sheetProtection password="CB59" sheet="1"/>
  <mergeCells count="3">
    <mergeCell ref="C3:E3"/>
    <mergeCell ref="C4:E4"/>
    <mergeCell ref="C5:E5"/>
  </mergeCells>
  <phoneticPr fontId="0" type="noConversion"/>
  <hyperlinks>
    <hyperlink ref="D18" location="Lookup_Table_FMF_Scores" display="Lookup_Table_FMF_Scores"/>
    <hyperlink ref="E19" location="Viability_Metrics" display="Viability_Metrics"/>
    <hyperlink ref="E20" location="Sustainability_Metrics" display="Sustainability_Metrics"/>
    <hyperlink ref="D23" location="Financial_Statements_of_TEI" display="Financial_Statements_of_TEI"/>
    <hyperlink ref="E24" location="Statement_of_Financial_Performance" display="Statement_of_Financial_Performance"/>
    <hyperlink ref="E25" location="Statement_of_Financial_Position" display="Statement_of_Financial_Position"/>
    <hyperlink ref="E26" location="Statement_of_Cash_Flows" display="Statement_of_Cash_Flows"/>
    <hyperlink ref="E27" location="Non_Financial_Information" display="Non_Financial_Information"/>
    <hyperlink ref="D30" location="FMF_Report_Template" display="FMF_Report_Template"/>
    <hyperlink ref="D34" location="Calculations_EFTS_Entry" display="Calculations_EFTS_Entry"/>
    <hyperlink ref="D9" location="FMF_Instructions_and_Notes" display="FMF_Instructions_and_Notes"/>
    <hyperlink ref="E10" location="Quick_steps_to_using_spreadsheet" display="Quick_steps_to_using_spreadsheet"/>
    <hyperlink ref="E14" location="Flow_of_Information_in_Spreadsheet" display="Flow_of_Information_in_Spreadsheet"/>
    <hyperlink ref="E35" location="Updating_the_Calculations_tab" display="Updating_the_Calculations_page"/>
    <hyperlink ref="E12" location="Updating_the_Calculations_tab" display="Updating_the_Calculations_tab"/>
    <hyperlink ref="E11" location="Updating_the_Financials_tab" display="Updating_the_Financials_tab"/>
    <hyperlink ref="E13" location="Updating_FMF_report" display="Updating_FMF_report"/>
    <hyperlink ref="E15" location="Version_Information" display="Version_Information"/>
    <hyperlink ref="E31" location="Updating_FMF_report" display="Updating_FMF_repor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3"/>
  <sheetViews>
    <sheetView tabSelected="1" zoomScale="90" zoomScaleNormal="90" workbookViewId="0"/>
  </sheetViews>
  <sheetFormatPr defaultRowHeight="15" x14ac:dyDescent="0.2"/>
  <cols>
    <col min="1" max="1" width="4.44140625" customWidth="1"/>
    <col min="2" max="2" width="94.6640625" customWidth="1"/>
    <col min="3" max="3" width="6.33203125" bestFit="1" customWidth="1"/>
    <col min="4" max="4" width="5" bestFit="1" customWidth="1"/>
    <col min="5" max="5" width="5.44140625" bestFit="1" customWidth="1"/>
    <col min="6" max="6" width="6" bestFit="1" customWidth="1"/>
    <col min="7" max="7" width="6.77734375" customWidth="1"/>
  </cols>
  <sheetData>
    <row r="1" spans="1:5" ht="18" x14ac:dyDescent="0.25">
      <c r="A1" s="353" t="s">
        <v>541</v>
      </c>
    </row>
    <row r="3" spans="1:5" ht="30.75" customHeight="1" x14ac:dyDescent="0.25">
      <c r="A3" s="356" t="s">
        <v>399</v>
      </c>
      <c r="B3" s="356"/>
      <c r="C3" s="282"/>
      <c r="D3" s="282"/>
      <c r="E3" s="282"/>
    </row>
    <row r="5" spans="1:5" x14ac:dyDescent="0.2">
      <c r="A5" s="154" t="s">
        <v>372</v>
      </c>
      <c r="C5" s="136"/>
    </row>
    <row r="6" spans="1:5" x14ac:dyDescent="0.2">
      <c r="A6" s="168" t="str">
        <f>CHAR(70)</f>
        <v>F</v>
      </c>
      <c r="B6" s="136" t="s">
        <v>373</v>
      </c>
      <c r="C6" s="136"/>
    </row>
    <row r="7" spans="1:5" x14ac:dyDescent="0.2">
      <c r="A7" s="168" t="str">
        <f>CHAR(70)</f>
        <v>F</v>
      </c>
      <c r="B7" s="136" t="s">
        <v>391</v>
      </c>
      <c r="C7" s="136"/>
    </row>
    <row r="8" spans="1:5" x14ac:dyDescent="0.2">
      <c r="A8" s="168" t="str">
        <f>CHAR(70)</f>
        <v>F</v>
      </c>
      <c r="B8" s="136" t="s">
        <v>375</v>
      </c>
      <c r="C8" s="136"/>
    </row>
    <row r="9" spans="1:5" x14ac:dyDescent="0.2">
      <c r="A9" s="168" t="str">
        <f>CHAR(70)</f>
        <v>F</v>
      </c>
      <c r="B9" s="136" t="s">
        <v>471</v>
      </c>
      <c r="C9" s="136"/>
    </row>
    <row r="11" spans="1:5" ht="15.75" x14ac:dyDescent="0.25">
      <c r="A11" s="27" t="s">
        <v>380</v>
      </c>
    </row>
    <row r="12" spans="1:5" x14ac:dyDescent="0.2">
      <c r="A12" s="168" t="str">
        <f t="shared" ref="A12:A21" si="0">CHAR(70)</f>
        <v>F</v>
      </c>
      <c r="B12" s="285" t="s">
        <v>394</v>
      </c>
    </row>
    <row r="13" spans="1:5" x14ac:dyDescent="0.2">
      <c r="A13" s="168" t="str">
        <f t="shared" si="0"/>
        <v>F</v>
      </c>
      <c r="B13" s="285" t="s">
        <v>473</v>
      </c>
      <c r="C13" s="136"/>
    </row>
    <row r="14" spans="1:5" x14ac:dyDescent="0.2">
      <c r="A14" s="168" t="str">
        <f t="shared" si="0"/>
        <v>F</v>
      </c>
      <c r="B14" s="285" t="s">
        <v>395</v>
      </c>
    </row>
    <row r="15" spans="1:5" ht="30" x14ac:dyDescent="0.2">
      <c r="A15" s="168" t="str">
        <f t="shared" si="0"/>
        <v>F</v>
      </c>
      <c r="B15" s="286" t="s">
        <v>457</v>
      </c>
    </row>
    <row r="16" spans="1:5" ht="15" customHeight="1" x14ac:dyDescent="0.2">
      <c r="A16" s="168" t="str">
        <f t="shared" si="0"/>
        <v>F</v>
      </c>
      <c r="B16" s="286" t="str">
        <f>"Note: Formulae in row "&amp;ROW(Calculations!$A$31)&amp;" of the 'calculations' tab look for a year reference in either row "&amp;ROW(Financials!$C$7)&amp;" or row "&amp;ROW(Financials!$C$8)&amp;" of the financials tab"</f>
        <v>Note: Formulae in row 31 of the 'calculations' tab look for a year reference in either row 7 or row 8 of the financials tab</v>
      </c>
    </row>
    <row r="17" spans="1:3" x14ac:dyDescent="0.2">
      <c r="A17" s="168" t="str">
        <f t="shared" si="0"/>
        <v>F</v>
      </c>
      <c r="B17" s="286" t="s">
        <v>470</v>
      </c>
    </row>
    <row r="18" spans="1:3" ht="30" x14ac:dyDescent="0.2">
      <c r="A18" s="168" t="str">
        <f t="shared" si="0"/>
        <v>F</v>
      </c>
      <c r="B18" s="286" t="s">
        <v>456</v>
      </c>
    </row>
    <row r="19" spans="1:3" ht="30" x14ac:dyDescent="0.2">
      <c r="A19" s="168" t="str">
        <f t="shared" si="0"/>
        <v>F</v>
      </c>
      <c r="B19" s="286" t="s">
        <v>458</v>
      </c>
    </row>
    <row r="20" spans="1:3" x14ac:dyDescent="0.2">
      <c r="A20" s="168" t="str">
        <f t="shared" si="0"/>
        <v>F</v>
      </c>
      <c r="B20" s="286" t="s">
        <v>459</v>
      </c>
    </row>
    <row r="21" spans="1:3" ht="30" customHeight="1" x14ac:dyDescent="0.2">
      <c r="A21" s="168" t="str">
        <f t="shared" si="0"/>
        <v>F</v>
      </c>
      <c r="B21" s="284" t="s">
        <v>460</v>
      </c>
    </row>
    <row r="22" spans="1:3" x14ac:dyDescent="0.2">
      <c r="A22" s="168"/>
    </row>
    <row r="23" spans="1:3" ht="15.75" x14ac:dyDescent="0.25">
      <c r="A23" s="27" t="s">
        <v>383</v>
      </c>
      <c r="C23" s="136"/>
    </row>
    <row r="24" spans="1:3" x14ac:dyDescent="0.2">
      <c r="A24" s="168" t="str">
        <f t="shared" ref="A24:A31" si="1">CHAR(70)</f>
        <v>F</v>
      </c>
      <c r="B24" s="285" t="s">
        <v>379</v>
      </c>
      <c r="C24" s="136"/>
    </row>
    <row r="25" spans="1:3" ht="30" x14ac:dyDescent="0.2">
      <c r="A25" s="168" t="str">
        <f t="shared" si="1"/>
        <v>F</v>
      </c>
      <c r="B25" s="286" t="s">
        <v>468</v>
      </c>
      <c r="C25" s="136"/>
    </row>
    <row r="26" spans="1:3" x14ac:dyDescent="0.2">
      <c r="A26" s="168" t="str">
        <f t="shared" si="1"/>
        <v>F</v>
      </c>
      <c r="B26" s="285" t="s">
        <v>469</v>
      </c>
      <c r="C26" s="136"/>
    </row>
    <row r="27" spans="1:3" x14ac:dyDescent="0.2">
      <c r="A27" s="168" t="str">
        <f t="shared" si="1"/>
        <v>F</v>
      </c>
      <c r="B27" s="286" t="str">
        <f>"Note: rows "&amp;ROW(Calculations!A35)&amp;" and "&amp;ROW(Calculations!A36)&amp;" do not enter the final FMF calculations but have been retained as a useful consistency check"</f>
        <v>Note: rows 35 and 36 do not enter the final FMF calculations but have been retained as a useful consistency check</v>
      </c>
      <c r="C27" s="136"/>
    </row>
    <row r="28" spans="1:3" ht="30" x14ac:dyDescent="0.2">
      <c r="A28" s="168" t="str">
        <f t="shared" si="1"/>
        <v>F</v>
      </c>
      <c r="B28" s="286" t="str">
        <f>"Note: if the formula in row "&amp;ROW(Calculations!A32)&amp;" is not accurately picking up what financial year the data relate to, hard code the year.  Deleting the year reference here effectively stops that column of data being used in the FMF calculations"</f>
        <v>Note: if the formula in row 32 is not accurately picking up what financial year the data relate to, hard code the year.  Deleting the year reference here effectively stops that column of data being used in the FMF calculations</v>
      </c>
      <c r="C28" s="136"/>
    </row>
    <row r="29" spans="1:3" ht="30" x14ac:dyDescent="0.2">
      <c r="A29" s="168" t="str">
        <f t="shared" si="1"/>
        <v>F</v>
      </c>
      <c r="B29" s="286" t="str">
        <f>"Note: cells "&amp;CHAR(COLUMN(Report!C40)+64)&amp;ROW(Report!C40)&amp;" - "&amp;CHAR(COLUMN(Report!C43)+64)&amp;ROW(Report!C43)&amp;" on the calculation page are only required if full financial data for the year in question is not entered.  Entering data here does not overwrite the calculation performed if financial data for that period exists"</f>
        <v>Note: cells C40 - C43 on the calculation page are only required if full financial data for the year in question is not entered.  Entering data here does not overwrite the calculation performed if financial data for that period exists</v>
      </c>
      <c r="C29" s="136"/>
    </row>
    <row r="30" spans="1:3" x14ac:dyDescent="0.2">
      <c r="A30" s="168" t="str">
        <f t="shared" si="1"/>
        <v>F</v>
      </c>
      <c r="B30" s="352" t="str">
        <f>"Update row "&amp;ROW(Calculations!A53)&amp;" for the amount of undrawn credit facility sought for inclusion in the FMF"</f>
        <v>Update row 53 for the amount of undrawn credit facility sought for inclusion in the FMF</v>
      </c>
      <c r="C30" s="136"/>
    </row>
    <row r="31" spans="1:3" x14ac:dyDescent="0.2">
      <c r="A31" s="168" t="str">
        <f t="shared" si="1"/>
        <v>F</v>
      </c>
      <c r="B31" s="352" t="str">
        <f>"Update row "&amp;ROW(Calculations!A60)&amp;" toTBC to test impact of inclusion of undrawn credit on FMF results"</f>
        <v>Update row 60 toTBC to test impact of inclusion of undrawn credit on FMF results</v>
      </c>
      <c r="C31" s="136"/>
    </row>
    <row r="32" spans="1:3" x14ac:dyDescent="0.2">
      <c r="A32" s="168"/>
      <c r="B32" s="286"/>
      <c r="C32" s="136"/>
    </row>
    <row r="33" spans="1:3" x14ac:dyDescent="0.2">
      <c r="A33" s="168"/>
      <c r="B33" s="158"/>
      <c r="C33" s="136"/>
    </row>
    <row r="34" spans="1:3" ht="15.75" x14ac:dyDescent="0.25">
      <c r="A34" s="349" t="s">
        <v>523</v>
      </c>
      <c r="B34" s="94"/>
      <c r="C34" s="136"/>
    </row>
    <row r="35" spans="1:3" x14ac:dyDescent="0.2">
      <c r="A35" s="168" t="str">
        <f>CHAR(70)</f>
        <v>F</v>
      </c>
      <c r="B35" s="286" t="str">
        <f>"Cell "&amp;CHAR(COLUMN(FMF_Report_Template)+64)&amp;ROW(FMF_Report_Template)&amp;": Enter name of TEI here"</f>
        <v>Cell E4: Enter name of TEI here</v>
      </c>
      <c r="C35" s="136"/>
    </row>
    <row r="36" spans="1:3" x14ac:dyDescent="0.2">
      <c r="A36" s="168" t="str">
        <f>CHAR(70)</f>
        <v>F</v>
      </c>
      <c r="B36" s="286" t="str">
        <f>"Cells "&amp;CHAR(COLUMN(Report!E6)+64)&amp;ROW(Report!E6)&amp;","&amp;CHAR(COLUMN(Report!E7)+64)&amp;ROW(Report!E7)&amp;" &amp; "&amp;CHAR(COLUMN(Report!E9)+64)&amp;ROW(Report!E9)&amp;","&amp;CHAR(COLUMN(Report!E10)+64)&amp;ROW(Report!E10)&amp;" (Years):  Enter historical and future years being used for FMF Calculations"</f>
        <v>Cells E6,E7 &amp; E9,E10 (Years):  Enter historical and future years being used for FMF Calculations</v>
      </c>
      <c r="C36" s="136"/>
    </row>
    <row r="37" spans="1:3" x14ac:dyDescent="0.2">
      <c r="B37" s="287" t="s">
        <v>461</v>
      </c>
      <c r="C37" s="136"/>
    </row>
    <row r="38" spans="1:3" ht="25.5" x14ac:dyDescent="0.2">
      <c r="B38" s="287" t="s">
        <v>462</v>
      </c>
      <c r="C38" s="136"/>
    </row>
    <row r="39" spans="1:3" ht="30" customHeight="1" x14ac:dyDescent="0.2">
      <c r="B39" s="287" t="s">
        <v>477</v>
      </c>
      <c r="C39" s="136"/>
    </row>
    <row r="40" spans="1:3" x14ac:dyDescent="0.2">
      <c r="A40" s="168" t="str">
        <f>CHAR(70)</f>
        <v>F</v>
      </c>
      <c r="B40" s="286" t="str">
        <f>"Cells "&amp;CHAR(COLUMN(Report!G6)+64)&amp;ROW(Report!G6)&amp;","&amp;CHAR(COLUMN(Report!G7)+64)&amp;ROW(Report!G7)&amp;" &amp; "&amp;CHAR(COLUMN(Report!G9)+64)&amp;ROW(Report!G9)&amp;","&amp;CHAR(COLUMN(Report!G10)+64)&amp;ROW(Report!G10)&amp;":  Select from options (A=Actual, B=Budget, F=Forecast/reforecast, P=Projection)"</f>
        <v>Cells G6,G7 &amp; G9,G10:  Select from options (A=Actual, B=Budget, F=Forecast/reforecast, P=Projection)</v>
      </c>
      <c r="C40" s="136"/>
    </row>
    <row r="41" spans="1:3" x14ac:dyDescent="0.2">
      <c r="B41" s="287" t="s">
        <v>374</v>
      </c>
      <c r="C41" s="136"/>
    </row>
    <row r="42" spans="1:3" x14ac:dyDescent="0.2">
      <c r="A42" s="168" t="str">
        <f>CHAR(70)</f>
        <v>F</v>
      </c>
      <c r="B42" s="286" t="str">
        <f>"Cell "&amp;CHAR(COLUMN(Report!$M$5)+64)&amp;ROW(Report!$M$5)&amp;" (Report date):  Information on when the FMF reports was prepared"</f>
        <v>Cell M5 (Report date):  Information on when the FMF reports was prepared</v>
      </c>
      <c r="C42" s="136"/>
    </row>
    <row r="43" spans="1:3" x14ac:dyDescent="0.2">
      <c r="A43" s="168" t="str">
        <f>CHAR(70)</f>
        <v>F</v>
      </c>
      <c r="B43" s="286" t="str">
        <f>"Cell "&amp;CHAR(COLUMN(Report!I9)+64)&amp;ROW(Report!I9)&amp;" and "&amp;CHAR(COLUMN(Report!I10)+64)&amp;ROW(Report!I10)&amp;" (Data):  Information to assist readers knowing the version of information used"</f>
        <v>Cell I9 and I10 (Data):  Information to assist readers knowing the version of information used</v>
      </c>
      <c r="C43" s="136"/>
    </row>
    <row r="44" spans="1:3" ht="30" x14ac:dyDescent="0.2">
      <c r="A44" s="168" t="str">
        <f>CHAR(70)</f>
        <v>F</v>
      </c>
      <c r="B44" s="286" t="str">
        <f>"Cell "&amp;CHAR(COLUMN(Confidence)+64)&amp;ROW(Confidence)&amp;" (Confidence) :  When set to low confidence this may alter the overall risk assessment.  (Some TEI's have supplied projections with very aggressive forecasts)"</f>
        <v>Cell K18 (Confidence) :  When set to low confidence this may alter the overall risk assessment.  (Some TEI's have supplied projections with very aggressive forecasts)</v>
      </c>
      <c r="C44" s="136"/>
    </row>
    <row r="45" spans="1:3" x14ac:dyDescent="0.2">
      <c r="A45" s="168" t="str">
        <f>CHAR(70)</f>
        <v>F</v>
      </c>
      <c r="B45" s="286" t="str">
        <f>"Row's "&amp;ROW(Report!B61)+1&amp;" - "&amp;ROW(Report!B68)-1&amp;":  Text can be entered into these cells to assist readers understanding"</f>
        <v>Row's 62 - 67:  Text can be entered into these cells to assist readers understanding</v>
      </c>
      <c r="C45" s="136"/>
    </row>
    <row r="46" spans="1:3" x14ac:dyDescent="0.2">
      <c r="A46" s="168"/>
      <c r="B46" s="158"/>
      <c r="C46" s="136"/>
    </row>
    <row r="47" spans="1:3" ht="15.75" x14ac:dyDescent="0.25">
      <c r="A47" s="27" t="s">
        <v>393</v>
      </c>
      <c r="C47" s="136"/>
    </row>
    <row r="48" spans="1:3" x14ac:dyDescent="0.2">
      <c r="A48" s="168" t="str">
        <f t="shared" ref="A48:A54" si="2">CHAR(70)</f>
        <v>F</v>
      </c>
      <c r="B48" s="285" t="s">
        <v>463</v>
      </c>
      <c r="C48" s="136"/>
    </row>
    <row r="49" spans="1:7" x14ac:dyDescent="0.2">
      <c r="A49" s="168" t="str">
        <f t="shared" si="2"/>
        <v>F</v>
      </c>
      <c r="B49" s="285" t="s">
        <v>464</v>
      </c>
      <c r="C49" s="136"/>
    </row>
    <row r="50" spans="1:7" x14ac:dyDescent="0.2">
      <c r="A50" s="168" t="str">
        <f t="shared" si="2"/>
        <v>F</v>
      </c>
      <c r="B50" s="285" t="s">
        <v>465</v>
      </c>
      <c r="C50" s="136"/>
    </row>
    <row r="51" spans="1:7" x14ac:dyDescent="0.2">
      <c r="A51" s="168" t="str">
        <f t="shared" si="2"/>
        <v>F</v>
      </c>
      <c r="B51" s="285" t="s">
        <v>466</v>
      </c>
      <c r="C51" s="136"/>
    </row>
    <row r="52" spans="1:7" x14ac:dyDescent="0.2">
      <c r="A52" s="168" t="str">
        <f t="shared" si="2"/>
        <v>F</v>
      </c>
      <c r="B52" s="285" t="s">
        <v>467</v>
      </c>
      <c r="C52" s="136"/>
    </row>
    <row r="53" spans="1:7" x14ac:dyDescent="0.2">
      <c r="A53" s="168" t="str">
        <f t="shared" si="2"/>
        <v>F</v>
      </c>
      <c r="B53" s="285" t="s">
        <v>381</v>
      </c>
      <c r="C53" s="136"/>
    </row>
    <row r="54" spans="1:7" x14ac:dyDescent="0.2">
      <c r="A54" s="168" t="str">
        <f t="shared" si="2"/>
        <v>F</v>
      </c>
      <c r="B54" s="286" t="s">
        <v>377</v>
      </c>
      <c r="C54" s="136"/>
    </row>
    <row r="55" spans="1:7" x14ac:dyDescent="0.2">
      <c r="A55" s="168" t="str">
        <f>CHAR(70)</f>
        <v>F</v>
      </c>
      <c r="B55" s="286" t="s">
        <v>382</v>
      </c>
      <c r="C55" s="136"/>
    </row>
    <row r="56" spans="1:7" x14ac:dyDescent="0.2">
      <c r="A56" s="168" t="str">
        <f>CHAR(70)</f>
        <v>F</v>
      </c>
      <c r="B56" s="286" t="s">
        <v>472</v>
      </c>
      <c r="C56" s="136"/>
    </row>
    <row r="57" spans="1:7" x14ac:dyDescent="0.2">
      <c r="A57" s="168"/>
      <c r="B57" s="158"/>
      <c r="C57" s="136"/>
    </row>
    <row r="58" spans="1:7" ht="15.75" x14ac:dyDescent="0.25">
      <c r="A58" s="27" t="s">
        <v>389</v>
      </c>
    </row>
    <row r="59" spans="1:7" x14ac:dyDescent="0.2">
      <c r="A59" s="168" t="str">
        <f>CHAR(70)</f>
        <v>F</v>
      </c>
      <c r="B59" s="285" t="s">
        <v>527</v>
      </c>
      <c r="C59" s="136"/>
      <c r="F59" s="84"/>
      <c r="G59" s="95"/>
    </row>
    <row r="60" spans="1:7" x14ac:dyDescent="0.2">
      <c r="A60" s="168" t="str">
        <f>CHAR(70)</f>
        <v>F</v>
      </c>
      <c r="B60" s="285" t="s">
        <v>384</v>
      </c>
      <c r="C60" s="136"/>
    </row>
    <row r="61" spans="1:7" x14ac:dyDescent="0.2">
      <c r="A61" s="168"/>
      <c r="B61" s="285" t="s">
        <v>540</v>
      </c>
      <c r="C61" s="136"/>
    </row>
    <row r="62" spans="1:7" x14ac:dyDescent="0.2">
      <c r="B62" s="288" t="s">
        <v>528</v>
      </c>
      <c r="C62" s="136"/>
    </row>
    <row r="63" spans="1:7" x14ac:dyDescent="0.2">
      <c r="B63" s="289" t="s">
        <v>530</v>
      </c>
      <c r="C63" s="136"/>
    </row>
    <row r="64" spans="1:7" x14ac:dyDescent="0.2">
      <c r="B64" s="289" t="s">
        <v>529</v>
      </c>
      <c r="C64" s="136"/>
    </row>
    <row r="65" spans="2:2" x14ac:dyDescent="0.2">
      <c r="B65" s="289" t="s">
        <v>531</v>
      </c>
    </row>
    <row r="66" spans="2:2" x14ac:dyDescent="0.2">
      <c r="B66" s="288" t="s">
        <v>532</v>
      </c>
    </row>
    <row r="67" spans="2:2" x14ac:dyDescent="0.2">
      <c r="B67" s="289" t="s">
        <v>533</v>
      </c>
    </row>
    <row r="68" spans="2:2" x14ac:dyDescent="0.2">
      <c r="B68" s="289" t="s">
        <v>534</v>
      </c>
    </row>
    <row r="69" spans="2:2" x14ac:dyDescent="0.2">
      <c r="B69" s="289" t="s">
        <v>535</v>
      </c>
    </row>
    <row r="70" spans="2:2" x14ac:dyDescent="0.2">
      <c r="B70" s="289" t="s">
        <v>536</v>
      </c>
    </row>
    <row r="71" spans="2:2" x14ac:dyDescent="0.2">
      <c r="B71" s="289" t="s">
        <v>537</v>
      </c>
    </row>
    <row r="72" spans="2:2" ht="30" x14ac:dyDescent="0.2">
      <c r="B72" s="290" t="s">
        <v>538</v>
      </c>
    </row>
    <row r="73" spans="2:2" x14ac:dyDescent="0.2">
      <c r="B73" s="289" t="s">
        <v>539</v>
      </c>
    </row>
  </sheetData>
  <mergeCells count="1">
    <mergeCell ref="A3:B3"/>
  </mergeCells>
  <phoneticPr fontId="21" type="noConversion"/>
  <pageMargins left="0.74803149606299213" right="0.74803149606299213" top="0.65" bottom="0.67" header="0.51181102362204722" footer="0.51181102362204722"/>
  <pageSetup paperSize="9" scale="6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topLeftCell="A98" zoomScale="75" workbookViewId="0">
      <selection activeCell="D100" sqref="D100"/>
    </sheetView>
  </sheetViews>
  <sheetFormatPr defaultRowHeight="15" x14ac:dyDescent="0.2"/>
  <cols>
    <col min="1" max="1" width="3.88671875" customWidth="1"/>
    <col min="2" max="2" width="14.44140625" customWidth="1"/>
    <col min="4" max="4" width="11.109375" customWidth="1"/>
    <col min="5" max="5" width="5.77734375" bestFit="1" customWidth="1"/>
    <col min="6" max="6" width="17.109375" customWidth="1"/>
    <col min="10" max="10" width="12.77734375" customWidth="1"/>
    <col min="11" max="11" width="2.6640625" customWidth="1"/>
    <col min="12" max="12" width="12.5546875" customWidth="1"/>
    <col min="13" max="13" width="4" customWidth="1"/>
    <col min="14" max="14" width="9.88671875" customWidth="1"/>
    <col min="15" max="15" width="0.88671875" customWidth="1"/>
    <col min="16" max="16" width="7" customWidth="1"/>
    <col min="17" max="17" width="4.88671875" customWidth="1"/>
    <col min="18" max="18" width="5.44140625" customWidth="1"/>
  </cols>
  <sheetData>
    <row r="1" spans="1:10" ht="18" x14ac:dyDescent="0.25">
      <c r="A1" s="152" t="s">
        <v>335</v>
      </c>
      <c r="B1" s="150"/>
      <c r="C1" s="150"/>
      <c r="D1" s="150"/>
      <c r="F1" s="152" t="s">
        <v>357</v>
      </c>
      <c r="G1" s="150"/>
      <c r="H1" s="150"/>
      <c r="I1" s="150"/>
      <c r="J1" s="150"/>
    </row>
    <row r="2" spans="1:10" ht="18" x14ac:dyDescent="0.25">
      <c r="A2" s="155" t="s">
        <v>347</v>
      </c>
      <c r="B2" s="155"/>
      <c r="C2" s="155"/>
      <c r="D2" s="155"/>
    </row>
    <row r="3" spans="1:10" ht="16.5" thickBot="1" x14ac:dyDescent="0.3">
      <c r="A3" s="27" t="s">
        <v>189</v>
      </c>
      <c r="F3" s="151" t="s">
        <v>332</v>
      </c>
    </row>
    <row r="4" spans="1:10" ht="15.75" x14ac:dyDescent="0.25">
      <c r="B4" s="38" t="s">
        <v>187</v>
      </c>
      <c r="C4" s="39" t="s">
        <v>188</v>
      </c>
      <c r="F4" s="27" t="s">
        <v>333</v>
      </c>
      <c r="G4" s="153" t="s">
        <v>334</v>
      </c>
    </row>
    <row r="5" spans="1:10" x14ac:dyDescent="0.2">
      <c r="B5" s="40">
        <v>-1</v>
      </c>
      <c r="C5" s="41">
        <v>-2</v>
      </c>
      <c r="F5" t="str">
        <f>"&lt; "&amp;B6*100&amp;"%"</f>
        <v>&lt; -4%</v>
      </c>
      <c r="G5" s="65">
        <f t="shared" ref="G5:G10" si="0">C5</f>
        <v>-2</v>
      </c>
    </row>
    <row r="6" spans="1:10" x14ac:dyDescent="0.2">
      <c r="B6" s="40">
        <v>-0.04</v>
      </c>
      <c r="C6" s="41">
        <v>0.5</v>
      </c>
      <c r="F6" t="str">
        <f>B6*100&amp;"% to "&amp;B7*100&amp;"%"</f>
        <v>-4% to 0%</v>
      </c>
      <c r="G6" s="65">
        <f t="shared" si="0"/>
        <v>0.5</v>
      </c>
    </row>
    <row r="7" spans="1:10" x14ac:dyDescent="0.2">
      <c r="B7" s="40">
        <v>0</v>
      </c>
      <c r="C7" s="41">
        <v>2</v>
      </c>
      <c r="F7" t="str">
        <f>B7*100&amp;"% to "&amp;B8*100&amp;"%"</f>
        <v>0% to 3%</v>
      </c>
      <c r="G7" s="65">
        <f t="shared" si="0"/>
        <v>2</v>
      </c>
    </row>
    <row r="8" spans="1:10" x14ac:dyDescent="0.2">
      <c r="B8" s="40">
        <v>0.03</v>
      </c>
      <c r="C8" s="41">
        <v>3</v>
      </c>
      <c r="F8" t="str">
        <f>B8*100&amp;"% to "&amp;B9*100&amp;"%"</f>
        <v>3% to 5%</v>
      </c>
      <c r="G8" s="65">
        <f t="shared" si="0"/>
        <v>3</v>
      </c>
    </row>
    <row r="9" spans="1:10" x14ac:dyDescent="0.2">
      <c r="B9" s="40">
        <v>0.05</v>
      </c>
      <c r="C9" s="41">
        <v>4</v>
      </c>
      <c r="F9" t="str">
        <f>B9*100&amp;"% to "&amp;B10*100&amp;"%"</f>
        <v>5% to 7%</v>
      </c>
      <c r="G9" s="65">
        <f t="shared" si="0"/>
        <v>4</v>
      </c>
    </row>
    <row r="10" spans="1:10" ht="15.75" thickBot="1" x14ac:dyDescent="0.25">
      <c r="B10" s="42">
        <v>7.0000000000000007E-2</v>
      </c>
      <c r="C10" s="43">
        <v>5</v>
      </c>
      <c r="F10" t="str">
        <f>B10*100&amp;"% +"</f>
        <v>7% +</v>
      </c>
      <c r="G10" s="65">
        <f t="shared" si="0"/>
        <v>5</v>
      </c>
    </row>
    <row r="12" spans="1:10" ht="16.5" thickBot="1" x14ac:dyDescent="0.3">
      <c r="A12" s="27" t="s">
        <v>190</v>
      </c>
      <c r="F12" s="151" t="s">
        <v>336</v>
      </c>
    </row>
    <row r="13" spans="1:10" ht="15.75" x14ac:dyDescent="0.25">
      <c r="B13" s="38" t="s">
        <v>161</v>
      </c>
      <c r="C13" s="39" t="s">
        <v>188</v>
      </c>
      <c r="F13" s="27" t="s">
        <v>333</v>
      </c>
      <c r="G13" s="153" t="s">
        <v>334</v>
      </c>
    </row>
    <row r="14" spans="1:10" x14ac:dyDescent="0.2">
      <c r="B14" s="45">
        <v>-1</v>
      </c>
      <c r="C14" s="41">
        <v>-2</v>
      </c>
      <c r="F14" t="str">
        <f>"&lt; "&amp;B15*100&amp;"%"</f>
        <v>&lt; 3%</v>
      </c>
      <c r="G14" s="65">
        <f t="shared" ref="G14:G19" si="1">C14</f>
        <v>-2</v>
      </c>
    </row>
    <row r="15" spans="1:10" x14ac:dyDescent="0.2">
      <c r="B15" s="45">
        <v>0.03</v>
      </c>
      <c r="C15" s="41">
        <v>0.5</v>
      </c>
      <c r="F15" t="str">
        <f>B15*100&amp;"% to "&amp;B16*100&amp;"%"</f>
        <v>3% to 7%</v>
      </c>
      <c r="G15" s="65">
        <f t="shared" si="1"/>
        <v>0.5</v>
      </c>
    </row>
    <row r="16" spans="1:10" x14ac:dyDescent="0.2">
      <c r="B16" s="45">
        <v>7.0000000000000007E-2</v>
      </c>
      <c r="C16" s="41">
        <v>2</v>
      </c>
      <c r="F16" t="str">
        <f>B16*100&amp;"% to "&amp;B17*100&amp;"%"</f>
        <v>7% to 9%</v>
      </c>
      <c r="G16" s="65">
        <f t="shared" si="1"/>
        <v>2</v>
      </c>
    </row>
    <row r="17" spans="1:7" x14ac:dyDescent="0.2">
      <c r="B17" s="45">
        <v>0.09</v>
      </c>
      <c r="C17" s="41">
        <v>3</v>
      </c>
      <c r="F17" t="str">
        <f>B17*100&amp;"% to "&amp;B18*100&amp;"%"</f>
        <v>9% to 11%</v>
      </c>
      <c r="G17" s="65">
        <f t="shared" si="1"/>
        <v>3</v>
      </c>
    </row>
    <row r="18" spans="1:7" x14ac:dyDescent="0.2">
      <c r="B18" s="45">
        <v>0.11</v>
      </c>
      <c r="C18" s="41">
        <v>4</v>
      </c>
      <c r="F18" t="str">
        <f>B18*100&amp;"% to "&amp;B19*100&amp;"%"</f>
        <v>11% to 13%</v>
      </c>
      <c r="G18" s="65">
        <f t="shared" si="1"/>
        <v>4</v>
      </c>
    </row>
    <row r="19" spans="1:7" ht="15.75" thickBot="1" x14ac:dyDescent="0.25">
      <c r="B19" s="46">
        <v>0.13</v>
      </c>
      <c r="C19" s="43">
        <v>5</v>
      </c>
      <c r="F19" t="str">
        <f>B19*100&amp;"% +"</f>
        <v>13% +</v>
      </c>
      <c r="G19" s="65">
        <f t="shared" si="1"/>
        <v>5</v>
      </c>
    </row>
    <row r="21" spans="1:7" ht="16.5" thickBot="1" x14ac:dyDescent="0.3">
      <c r="A21" s="27" t="s">
        <v>397</v>
      </c>
      <c r="F21" s="151" t="s">
        <v>337</v>
      </c>
    </row>
    <row r="22" spans="1:7" ht="30.75" x14ac:dyDescent="0.25">
      <c r="B22" s="202" t="s">
        <v>398</v>
      </c>
      <c r="C22" s="39" t="s">
        <v>188</v>
      </c>
      <c r="F22" s="27" t="s">
        <v>333</v>
      </c>
      <c r="G22" s="153" t="s">
        <v>334</v>
      </c>
    </row>
    <row r="23" spans="1:7" x14ac:dyDescent="0.2">
      <c r="B23" s="40">
        <v>0</v>
      </c>
      <c r="C23" s="41">
        <v>-2</v>
      </c>
      <c r="F23" t="str">
        <f>"&lt; "&amp;B24*100&amp;"%"</f>
        <v>&lt; 104%</v>
      </c>
      <c r="G23" s="65">
        <f t="shared" ref="G23:G28" si="2">C23</f>
        <v>-2</v>
      </c>
    </row>
    <row r="24" spans="1:7" x14ac:dyDescent="0.2">
      <c r="B24" s="40">
        <v>1.04</v>
      </c>
      <c r="C24" s="41">
        <v>0.5</v>
      </c>
      <c r="F24" t="str">
        <f>B24*100&amp;"% to "&amp;B25*100&amp;"%"</f>
        <v>104% to 108%</v>
      </c>
      <c r="G24" s="65">
        <f t="shared" si="2"/>
        <v>0.5</v>
      </c>
    </row>
    <row r="25" spans="1:7" x14ac:dyDescent="0.2">
      <c r="B25" s="40">
        <v>1.08</v>
      </c>
      <c r="C25" s="41">
        <v>2</v>
      </c>
      <c r="F25" t="str">
        <f>B25*100&amp;"% to "&amp;B26*100&amp;"%"</f>
        <v>108% to 111%</v>
      </c>
      <c r="G25" s="65">
        <f t="shared" si="2"/>
        <v>2</v>
      </c>
    </row>
    <row r="26" spans="1:7" x14ac:dyDescent="0.2">
      <c r="B26" s="40">
        <v>1.1100000000000001</v>
      </c>
      <c r="C26" s="41">
        <v>3</v>
      </c>
      <c r="F26" t="str">
        <f>B26*100&amp;"% to "&amp;B27*100&amp;"%"</f>
        <v>111% to 113%</v>
      </c>
      <c r="G26" s="65">
        <f t="shared" si="2"/>
        <v>3</v>
      </c>
    </row>
    <row r="27" spans="1:7" x14ac:dyDescent="0.2">
      <c r="B27" s="40">
        <v>1.1299999999999999</v>
      </c>
      <c r="C27" s="41">
        <v>4</v>
      </c>
      <c r="F27" t="str">
        <f>B27*100&amp;"% to "&amp;B28*100&amp;"%"</f>
        <v>113% to 115%</v>
      </c>
      <c r="G27" s="65">
        <f t="shared" si="2"/>
        <v>4</v>
      </c>
    </row>
    <row r="28" spans="1:7" ht="15.75" thickBot="1" x14ac:dyDescent="0.25">
      <c r="B28" s="42">
        <v>1.1499999999999999</v>
      </c>
      <c r="C28" s="43">
        <v>5</v>
      </c>
      <c r="F28" t="str">
        <f>B28*100&amp;"% +"</f>
        <v>115% +</v>
      </c>
      <c r="G28" s="65">
        <f t="shared" si="2"/>
        <v>5</v>
      </c>
    </row>
    <row r="30" spans="1:7" ht="16.5" thickBot="1" x14ac:dyDescent="0.3">
      <c r="A30" s="27" t="s">
        <v>191</v>
      </c>
      <c r="F30" s="151" t="s">
        <v>338</v>
      </c>
    </row>
    <row r="31" spans="1:7" ht="30.75" x14ac:dyDescent="0.25">
      <c r="B31" s="47" t="s">
        <v>163</v>
      </c>
      <c r="C31" s="39" t="s">
        <v>188</v>
      </c>
      <c r="F31" s="27" t="s">
        <v>333</v>
      </c>
      <c r="G31" s="153" t="s">
        <v>334</v>
      </c>
    </row>
    <row r="32" spans="1:7" x14ac:dyDescent="0.2">
      <c r="B32" s="40">
        <v>-1</v>
      </c>
      <c r="C32" s="41">
        <v>-2</v>
      </c>
      <c r="F32" t="str">
        <f>"&lt; "&amp;B33*100&amp;"%"</f>
        <v>&lt; 2%</v>
      </c>
      <c r="G32" s="65">
        <f t="shared" ref="G32:G37" si="3">C32</f>
        <v>-2</v>
      </c>
    </row>
    <row r="33" spans="1:8" x14ac:dyDescent="0.2">
      <c r="B33" s="40">
        <v>0.02</v>
      </c>
      <c r="C33" s="41">
        <v>0.5</v>
      </c>
      <c r="F33" t="str">
        <f>B33*100&amp;"% to "&amp;B34*100&amp;"%"</f>
        <v>2% to 5%</v>
      </c>
      <c r="G33" s="65">
        <f t="shared" si="3"/>
        <v>0.5</v>
      </c>
    </row>
    <row r="34" spans="1:8" x14ac:dyDescent="0.2">
      <c r="B34" s="40">
        <v>0.05</v>
      </c>
      <c r="C34" s="41">
        <v>2</v>
      </c>
      <c r="F34" t="str">
        <f>B34*100&amp;"% to "&amp;B35*100&amp;"%"</f>
        <v>5% to 8%</v>
      </c>
      <c r="G34" s="65">
        <f t="shared" si="3"/>
        <v>2</v>
      </c>
    </row>
    <row r="35" spans="1:8" x14ac:dyDescent="0.2">
      <c r="B35" s="40">
        <v>0.08</v>
      </c>
      <c r="C35" s="41">
        <v>3</v>
      </c>
      <c r="F35" t="str">
        <f>B35*100&amp;"% to "&amp;B36*100&amp;"%"</f>
        <v>8% to 12%</v>
      </c>
      <c r="G35" s="65">
        <f t="shared" si="3"/>
        <v>3</v>
      </c>
    </row>
    <row r="36" spans="1:8" x14ac:dyDescent="0.2">
      <c r="B36" s="40">
        <v>0.12</v>
      </c>
      <c r="C36" s="41">
        <v>4</v>
      </c>
      <c r="F36" t="str">
        <f>B36*100&amp;"% to "&amp;B37*100&amp;"%"</f>
        <v>12% to 15%</v>
      </c>
      <c r="G36" s="65">
        <f t="shared" si="3"/>
        <v>4</v>
      </c>
    </row>
    <row r="37" spans="1:8" ht="15.75" thickBot="1" x14ac:dyDescent="0.25">
      <c r="B37" s="42">
        <v>0.15</v>
      </c>
      <c r="C37" s="43">
        <v>5</v>
      </c>
      <c r="F37" t="str">
        <f>B37*100&amp;"% +"</f>
        <v>15% +</v>
      </c>
      <c r="G37" s="65">
        <f t="shared" si="3"/>
        <v>5</v>
      </c>
    </row>
    <row r="39" spans="1:8" ht="15.75" x14ac:dyDescent="0.25">
      <c r="A39" s="27" t="s">
        <v>341</v>
      </c>
      <c r="F39" s="151" t="s">
        <v>339</v>
      </c>
    </row>
    <row r="40" spans="1:8" ht="16.5" thickBot="1" x14ac:dyDescent="0.3">
      <c r="A40" s="27"/>
      <c r="B40" s="154" t="s">
        <v>340</v>
      </c>
    </row>
    <row r="41" spans="1:8" ht="15.75" x14ac:dyDescent="0.25">
      <c r="B41" s="47" t="s">
        <v>192</v>
      </c>
      <c r="C41" s="39" t="s">
        <v>188</v>
      </c>
      <c r="F41" s="27" t="s">
        <v>333</v>
      </c>
      <c r="G41" s="153" t="s">
        <v>334</v>
      </c>
    </row>
    <row r="42" spans="1:8" x14ac:dyDescent="0.2">
      <c r="B42" s="48">
        <v>-10000000</v>
      </c>
      <c r="C42" s="41">
        <v>-2</v>
      </c>
      <c r="F42" t="str">
        <f>"&lt; "&amp;B43</f>
        <v>&lt; 1</v>
      </c>
      <c r="G42" s="65">
        <f>C42</f>
        <v>-2</v>
      </c>
      <c r="H42" s="151" t="s">
        <v>344</v>
      </c>
    </row>
    <row r="43" spans="1:8" x14ac:dyDescent="0.2">
      <c r="B43" s="49">
        <v>1</v>
      </c>
      <c r="C43" s="41">
        <v>0.5</v>
      </c>
      <c r="F43" t="str">
        <f>B43&amp;" to "&amp;B44</f>
        <v>1 to 1.5</v>
      </c>
      <c r="G43" s="65">
        <f>C43</f>
        <v>0.5</v>
      </c>
      <c r="H43" s="151" t="s">
        <v>344</v>
      </c>
    </row>
    <row r="44" spans="1:8" x14ac:dyDescent="0.2">
      <c r="B44" s="49">
        <v>1.5</v>
      </c>
      <c r="C44" s="41">
        <v>2</v>
      </c>
      <c r="F44" t="str">
        <f>B44&amp;" to "&amp;B45</f>
        <v>1.5 to 3</v>
      </c>
      <c r="G44" s="65">
        <f>C44</f>
        <v>2</v>
      </c>
      <c r="H44" s="151" t="s">
        <v>344</v>
      </c>
    </row>
    <row r="45" spans="1:8" x14ac:dyDescent="0.2">
      <c r="B45" s="49">
        <v>3</v>
      </c>
      <c r="C45" s="41">
        <v>3</v>
      </c>
      <c r="F45" t="str">
        <f>B45&amp;" to "&amp;B47</f>
        <v>3 to 6</v>
      </c>
      <c r="G45" s="65">
        <f>C45</f>
        <v>3</v>
      </c>
      <c r="H45" s="151" t="s">
        <v>344</v>
      </c>
    </row>
    <row r="46" spans="1:8" x14ac:dyDescent="0.2">
      <c r="B46" s="49" t="s">
        <v>288</v>
      </c>
      <c r="C46" s="41">
        <v>3</v>
      </c>
      <c r="F46" t="str">
        <f>B47&amp;" to "&amp;B50</f>
        <v>6 to 12</v>
      </c>
      <c r="G46" s="65">
        <f>C47</f>
        <v>4</v>
      </c>
      <c r="H46" s="151" t="s">
        <v>344</v>
      </c>
    </row>
    <row r="47" spans="1:8" x14ac:dyDescent="0.2">
      <c r="B47" s="49">
        <v>6</v>
      </c>
      <c r="C47" s="41">
        <v>4</v>
      </c>
      <c r="F47" t="str">
        <f>"&gt; "&amp;B50</f>
        <v>&gt; 12</v>
      </c>
      <c r="G47" s="65">
        <f>C50</f>
        <v>5</v>
      </c>
      <c r="H47" s="151" t="s">
        <v>344</v>
      </c>
    </row>
    <row r="48" spans="1:8" x14ac:dyDescent="0.2">
      <c r="B48" s="49" t="s">
        <v>193</v>
      </c>
      <c r="C48" s="41">
        <v>4</v>
      </c>
      <c r="F48" s="136" t="s">
        <v>479</v>
      </c>
      <c r="G48" s="65">
        <f>C46</f>
        <v>3</v>
      </c>
      <c r="H48" s="151" t="s">
        <v>342</v>
      </c>
    </row>
    <row r="49" spans="1:8" x14ac:dyDescent="0.2">
      <c r="B49" s="49" t="s">
        <v>194</v>
      </c>
      <c r="C49" s="41">
        <v>5</v>
      </c>
      <c r="F49" s="136" t="s">
        <v>480</v>
      </c>
      <c r="G49" s="65">
        <f>C48</f>
        <v>4</v>
      </c>
      <c r="H49" s="151" t="s">
        <v>342</v>
      </c>
    </row>
    <row r="50" spans="1:8" ht="15.75" thickBot="1" x14ac:dyDescent="0.25">
      <c r="B50" s="50">
        <v>12</v>
      </c>
      <c r="C50" s="43">
        <v>5</v>
      </c>
      <c r="F50" s="136" t="s">
        <v>343</v>
      </c>
      <c r="G50" s="65">
        <f>C49</f>
        <v>5</v>
      </c>
      <c r="H50" s="151" t="s">
        <v>342</v>
      </c>
    </row>
    <row r="52" spans="1:8" ht="16.5" thickBot="1" x14ac:dyDescent="0.3">
      <c r="A52" s="27" t="s">
        <v>196</v>
      </c>
      <c r="F52" s="151" t="s">
        <v>345</v>
      </c>
    </row>
    <row r="53" spans="1:8" ht="15.75" x14ac:dyDescent="0.25">
      <c r="B53" s="47" t="s">
        <v>195</v>
      </c>
      <c r="C53" s="39" t="s">
        <v>188</v>
      </c>
      <c r="F53" s="27" t="s">
        <v>333</v>
      </c>
      <c r="G53" s="153" t="s">
        <v>334</v>
      </c>
    </row>
    <row r="54" spans="1:8" x14ac:dyDescent="0.2">
      <c r="B54" s="51">
        <v>0</v>
      </c>
      <c r="C54" s="41">
        <v>-2</v>
      </c>
      <c r="F54" t="str">
        <f>"&lt; "&amp;B55</f>
        <v>&lt; 0.5</v>
      </c>
      <c r="G54" s="65">
        <f t="shared" ref="G54:G59" si="4">C54</f>
        <v>-2</v>
      </c>
    </row>
    <row r="55" spans="1:8" x14ac:dyDescent="0.2">
      <c r="B55" s="51">
        <v>0.5</v>
      </c>
      <c r="C55" s="41">
        <v>0.5</v>
      </c>
      <c r="F55" t="str">
        <f>B55&amp;" to "&amp;B56</f>
        <v>0.5 to 1</v>
      </c>
      <c r="G55" s="65">
        <f t="shared" si="4"/>
        <v>0.5</v>
      </c>
    </row>
    <row r="56" spans="1:8" x14ac:dyDescent="0.2">
      <c r="B56" s="51">
        <v>1</v>
      </c>
      <c r="C56" s="41">
        <v>2</v>
      </c>
      <c r="F56" t="str">
        <f>B56&amp;" to "&amp;B57</f>
        <v>1 to 1.5</v>
      </c>
      <c r="G56" s="65">
        <f t="shared" si="4"/>
        <v>2</v>
      </c>
    </row>
    <row r="57" spans="1:8" x14ac:dyDescent="0.2">
      <c r="B57" s="51">
        <v>1.5</v>
      </c>
      <c r="C57" s="41">
        <v>3</v>
      </c>
      <c r="F57" t="str">
        <f>B57&amp;" to "&amp;B58</f>
        <v>1.5 to 2</v>
      </c>
      <c r="G57" s="65">
        <f t="shared" si="4"/>
        <v>3</v>
      </c>
    </row>
    <row r="58" spans="1:8" x14ac:dyDescent="0.2">
      <c r="B58" s="51">
        <v>2</v>
      </c>
      <c r="C58" s="41">
        <v>4</v>
      </c>
      <c r="F58" t="str">
        <f>B58&amp;" to "&amp;B59</f>
        <v>2 to 2.5</v>
      </c>
      <c r="G58" s="65">
        <f t="shared" si="4"/>
        <v>4</v>
      </c>
    </row>
    <row r="59" spans="1:8" ht="15.75" thickBot="1" x14ac:dyDescent="0.25">
      <c r="B59" s="52">
        <v>2.5</v>
      </c>
      <c r="C59" s="43">
        <v>5</v>
      </c>
      <c r="F59" t="str">
        <f>"&gt; "&amp;B59</f>
        <v>&gt; 2.5</v>
      </c>
      <c r="G59" s="65">
        <f t="shared" si="4"/>
        <v>5</v>
      </c>
    </row>
    <row r="61" spans="1:8" ht="18" x14ac:dyDescent="0.25">
      <c r="A61" s="155" t="s">
        <v>346</v>
      </c>
      <c r="B61" s="155"/>
      <c r="C61" s="155"/>
      <c r="D61" s="155"/>
    </row>
    <row r="62" spans="1:8" ht="16.5" thickBot="1" x14ac:dyDescent="0.3">
      <c r="A62" s="27" t="s">
        <v>198</v>
      </c>
      <c r="F62" s="151" t="s">
        <v>348</v>
      </c>
    </row>
    <row r="63" spans="1:8" ht="30.75" x14ac:dyDescent="0.25">
      <c r="B63" s="47" t="s">
        <v>165</v>
      </c>
      <c r="C63" s="39" t="s">
        <v>188</v>
      </c>
      <c r="F63" s="27" t="s">
        <v>333</v>
      </c>
      <c r="G63" s="153" t="s">
        <v>334</v>
      </c>
    </row>
    <row r="64" spans="1:8" x14ac:dyDescent="0.2">
      <c r="B64" s="40">
        <v>0</v>
      </c>
      <c r="C64" s="41">
        <v>4</v>
      </c>
      <c r="F64" t="str">
        <f>B68*100&amp;"% +"</f>
        <v>25% +</v>
      </c>
      <c r="G64" s="65">
        <f>C68</f>
        <v>-2</v>
      </c>
    </row>
    <row r="65" spans="1:8" x14ac:dyDescent="0.2">
      <c r="B65" s="130">
        <v>1E-4</v>
      </c>
      <c r="C65" s="41">
        <v>3</v>
      </c>
      <c r="F65" t="str">
        <f>B67*100&amp;"% to "&amp;B68*100&amp;"%"</f>
        <v>15% to 25%</v>
      </c>
      <c r="G65" s="65">
        <f>C67</f>
        <v>0.5</v>
      </c>
    </row>
    <row r="66" spans="1:8" x14ac:dyDescent="0.2">
      <c r="B66" s="45">
        <v>7.4999999999999997E-2</v>
      </c>
      <c r="C66" s="41">
        <v>2</v>
      </c>
      <c r="F66" t="str">
        <f>B66*100&amp;"% to "&amp;B67*100&amp;"%"</f>
        <v>7.5% to 15%</v>
      </c>
      <c r="G66" s="65">
        <f>C66</f>
        <v>2</v>
      </c>
    </row>
    <row r="67" spans="1:8" x14ac:dyDescent="0.2">
      <c r="B67" s="40">
        <v>0.15</v>
      </c>
      <c r="C67" s="41">
        <v>0.5</v>
      </c>
      <c r="F67" t="str">
        <f>B65*100&amp;"% to "&amp;B66*100&amp;"%"</f>
        <v>0.01% to 7.5%</v>
      </c>
      <c r="G67" s="65">
        <f>C65</f>
        <v>3</v>
      </c>
    </row>
    <row r="68" spans="1:8" ht="15.75" thickBot="1" x14ac:dyDescent="0.25">
      <c r="B68" s="42">
        <v>0.25</v>
      </c>
      <c r="C68" s="43">
        <v>-2</v>
      </c>
      <c r="F68" t="str">
        <f>B64*100&amp;"%"</f>
        <v>0%</v>
      </c>
      <c r="G68" s="65">
        <f>C73</f>
        <v>4</v>
      </c>
      <c r="H68" s="151" t="s">
        <v>350</v>
      </c>
    </row>
    <row r="69" spans="1:8" x14ac:dyDescent="0.2">
      <c r="F69" t="str">
        <f>B64*100&amp;"%"</f>
        <v>0%</v>
      </c>
      <c r="G69" s="65">
        <f>C74</f>
        <v>5</v>
      </c>
      <c r="H69" s="151" t="s">
        <v>349</v>
      </c>
    </row>
    <row r="70" spans="1:8" ht="16.5" thickBot="1" x14ac:dyDescent="0.3">
      <c r="A70" s="27" t="s">
        <v>199</v>
      </c>
    </row>
    <row r="71" spans="1:8" x14ac:dyDescent="0.2">
      <c r="B71" s="47" t="s">
        <v>161</v>
      </c>
      <c r="C71" s="39" t="s">
        <v>188</v>
      </c>
    </row>
    <row r="72" spans="1:8" x14ac:dyDescent="0.2">
      <c r="B72" s="40">
        <v>-1</v>
      </c>
      <c r="C72" s="41">
        <v>4</v>
      </c>
    </row>
    <row r="73" spans="1:8" x14ac:dyDescent="0.2">
      <c r="B73" s="40">
        <v>0</v>
      </c>
      <c r="C73" s="41">
        <v>4</v>
      </c>
    </row>
    <row r="74" spans="1:8" ht="15.75" thickBot="1" x14ac:dyDescent="0.25">
      <c r="B74" s="42">
        <v>0.1</v>
      </c>
      <c r="C74" s="43">
        <v>5</v>
      </c>
    </row>
    <row r="76" spans="1:8" ht="16.5" thickBot="1" x14ac:dyDescent="0.3">
      <c r="A76" s="27" t="s">
        <v>200</v>
      </c>
      <c r="F76" s="151" t="s">
        <v>352</v>
      </c>
    </row>
    <row r="77" spans="1:8" ht="30.75" x14ac:dyDescent="0.25">
      <c r="B77" s="47" t="s">
        <v>166</v>
      </c>
      <c r="C77" s="39" t="s">
        <v>188</v>
      </c>
      <c r="F77" s="27" t="s">
        <v>333</v>
      </c>
      <c r="G77" s="153" t="s">
        <v>334</v>
      </c>
    </row>
    <row r="78" spans="1:8" x14ac:dyDescent="0.2">
      <c r="B78" s="55" t="s">
        <v>263</v>
      </c>
      <c r="C78" s="41" t="s">
        <v>264</v>
      </c>
      <c r="F78" t="str">
        <f>"&lt; "&amp;B79*100&amp;"%"</f>
        <v>&lt; 0%</v>
      </c>
      <c r="G78" s="65" t="str">
        <f>C78</f>
        <v>NA</v>
      </c>
    </row>
    <row r="79" spans="1:8" x14ac:dyDescent="0.2">
      <c r="B79" s="55">
        <v>0</v>
      </c>
      <c r="C79" s="41">
        <v>-2</v>
      </c>
      <c r="F79" t="str">
        <f>B79*100&amp;"% to "&amp;B80*100&amp;"%"</f>
        <v>0% to 85%</v>
      </c>
      <c r="G79" s="65">
        <f>C79</f>
        <v>-2</v>
      </c>
    </row>
    <row r="80" spans="1:8" x14ac:dyDescent="0.2">
      <c r="B80" s="55">
        <v>0.85</v>
      </c>
      <c r="C80" s="41">
        <v>0.5</v>
      </c>
      <c r="F80" t="str">
        <f>B80*100&amp;"% to "&amp;B81*100&amp;"%"</f>
        <v>85% to 94%</v>
      </c>
      <c r="G80" s="65">
        <f>C80</f>
        <v>0.5</v>
      </c>
    </row>
    <row r="81" spans="1:8" x14ac:dyDescent="0.2">
      <c r="B81" s="55">
        <v>0.94</v>
      </c>
      <c r="C81" s="41">
        <v>2</v>
      </c>
      <c r="F81" t="str">
        <f>B81*100&amp;"% to "&amp;B82*100&amp;"%"</f>
        <v>94% to 97%</v>
      </c>
      <c r="G81" s="65">
        <f>C81</f>
        <v>2</v>
      </c>
    </row>
    <row r="82" spans="1:8" x14ac:dyDescent="0.2">
      <c r="B82" s="55">
        <v>0.97</v>
      </c>
      <c r="C82" s="41">
        <v>3</v>
      </c>
      <c r="F82" t="str">
        <f>B82*100&amp;"% to "&amp;B83*100&amp;"%"</f>
        <v>97% to 98%</v>
      </c>
      <c r="G82" s="65">
        <f>C82</f>
        <v>3</v>
      </c>
      <c r="H82" s="151" t="s">
        <v>351</v>
      </c>
    </row>
    <row r="83" spans="1:8" x14ac:dyDescent="0.2">
      <c r="B83" s="55">
        <v>0.98</v>
      </c>
      <c r="C83" s="41">
        <v>4</v>
      </c>
      <c r="F83" t="str">
        <f>B86*100&amp;"% +"</f>
        <v>103% +</v>
      </c>
      <c r="G83" s="65">
        <f>C86</f>
        <v>3</v>
      </c>
      <c r="H83" s="136"/>
    </row>
    <row r="84" spans="1:8" x14ac:dyDescent="0.2">
      <c r="B84" s="55">
        <v>0.99</v>
      </c>
      <c r="C84" s="41">
        <v>5</v>
      </c>
      <c r="F84" t="str">
        <f>B83*100&amp;"% to "&amp;B84*100&amp;"%"</f>
        <v>98% to 99%</v>
      </c>
      <c r="G84" s="65">
        <f>C83</f>
        <v>4</v>
      </c>
      <c r="H84" s="151" t="s">
        <v>351</v>
      </c>
    </row>
    <row r="85" spans="1:8" x14ac:dyDescent="0.2">
      <c r="B85" s="55">
        <v>1.01</v>
      </c>
      <c r="C85" s="41">
        <v>4</v>
      </c>
      <c r="F85" t="str">
        <f>B85*100&amp;"% to "&amp;B86*100&amp;"%"</f>
        <v>101% to 103%</v>
      </c>
      <c r="G85" s="65">
        <f>C85</f>
        <v>4</v>
      </c>
    </row>
    <row r="86" spans="1:8" ht="15.75" thickBot="1" x14ac:dyDescent="0.25">
      <c r="B86" s="56">
        <v>1.03</v>
      </c>
      <c r="C86" s="43">
        <v>3</v>
      </c>
      <c r="F86" t="str">
        <f>B84*100&amp;"% to "&amp;B85*100&amp;"%"</f>
        <v>99% to 101%</v>
      </c>
      <c r="G86" s="65">
        <f>C84</f>
        <v>5</v>
      </c>
    </row>
    <row r="88" spans="1:8" ht="16.5" thickBot="1" x14ac:dyDescent="0.3">
      <c r="A88" s="27" t="s">
        <v>201</v>
      </c>
      <c r="F88" s="151" t="s">
        <v>353</v>
      </c>
    </row>
    <row r="89" spans="1:8" ht="30.75" x14ac:dyDescent="0.25">
      <c r="B89" s="47" t="s">
        <v>202</v>
      </c>
      <c r="C89" s="39" t="s">
        <v>188</v>
      </c>
      <c r="F89" s="27" t="s">
        <v>333</v>
      </c>
      <c r="G89" s="153" t="s">
        <v>334</v>
      </c>
    </row>
    <row r="90" spans="1:8" x14ac:dyDescent="0.2">
      <c r="B90" s="55" t="s">
        <v>443</v>
      </c>
      <c r="C90" s="41" t="s">
        <v>264</v>
      </c>
      <c r="F90" t="s">
        <v>264</v>
      </c>
      <c r="G90" s="65" t="str">
        <f t="shared" ref="G90:G96" si="5">C90</f>
        <v>NA</v>
      </c>
    </row>
    <row r="91" spans="1:8" x14ac:dyDescent="0.2">
      <c r="B91" s="55">
        <v>-1</v>
      </c>
      <c r="C91" s="41">
        <v>-2</v>
      </c>
      <c r="F91" t="str">
        <f>B91*100&amp;"% to "&amp;B92*100&amp;"%"</f>
        <v>-100% to 0%</v>
      </c>
      <c r="G91" s="65">
        <f t="shared" si="5"/>
        <v>-2</v>
      </c>
    </row>
    <row r="92" spans="1:8" x14ac:dyDescent="0.2">
      <c r="B92" s="55">
        <v>0</v>
      </c>
      <c r="C92" s="41">
        <v>0.5</v>
      </c>
      <c r="F92" t="str">
        <f>B92*100&amp;"% to "&amp;B93*100&amp;"%"</f>
        <v>0% to 2.5%</v>
      </c>
      <c r="G92" s="65">
        <f t="shared" si="5"/>
        <v>0.5</v>
      </c>
    </row>
    <row r="93" spans="1:8" x14ac:dyDescent="0.2">
      <c r="B93" s="55">
        <v>2.5000000000000001E-2</v>
      </c>
      <c r="C93" s="41">
        <v>2</v>
      </c>
      <c r="F93" t="str">
        <f>B93*100&amp;"% to "&amp;B94*100&amp;"%"</f>
        <v>2.5% to 4.5%</v>
      </c>
      <c r="G93" s="65">
        <f t="shared" si="5"/>
        <v>2</v>
      </c>
    </row>
    <row r="94" spans="1:8" x14ac:dyDescent="0.2">
      <c r="B94" s="55">
        <v>4.4999999999999998E-2</v>
      </c>
      <c r="C94" s="41">
        <v>3</v>
      </c>
      <c r="F94" t="str">
        <f>B94*100&amp;"% to "&amp;B95*100&amp;"%"</f>
        <v>4.5% to 6.5%</v>
      </c>
      <c r="G94" s="65">
        <f t="shared" si="5"/>
        <v>3</v>
      </c>
    </row>
    <row r="95" spans="1:8" x14ac:dyDescent="0.2">
      <c r="B95" s="55">
        <v>6.5000000000000002E-2</v>
      </c>
      <c r="C95" s="41">
        <v>4</v>
      </c>
      <c r="F95" t="str">
        <f>B95*100&amp;"% to "&amp;B96*100&amp;"%"</f>
        <v>6.5% to 8.5%</v>
      </c>
      <c r="G95" s="65">
        <f t="shared" si="5"/>
        <v>4</v>
      </c>
    </row>
    <row r="96" spans="1:8" ht="15.75" thickBot="1" x14ac:dyDescent="0.25">
      <c r="B96" s="56">
        <v>8.5000000000000006E-2</v>
      </c>
      <c r="C96" s="43">
        <v>5</v>
      </c>
      <c r="F96" t="str">
        <f>B96*100&amp;"% +"</f>
        <v>8.5% +</v>
      </c>
      <c r="G96" s="65">
        <f t="shared" si="5"/>
        <v>5</v>
      </c>
    </row>
    <row r="98" spans="1:9" ht="16.5" thickBot="1" x14ac:dyDescent="0.3">
      <c r="A98" s="27" t="s">
        <v>203</v>
      </c>
      <c r="F98" s="151" t="s">
        <v>354</v>
      </c>
    </row>
    <row r="99" spans="1:9" x14ac:dyDescent="0.2">
      <c r="B99" s="47" t="s">
        <v>293</v>
      </c>
      <c r="C99" s="39" t="s">
        <v>188</v>
      </c>
    </row>
    <row r="100" spans="1:9" x14ac:dyDescent="0.2">
      <c r="B100" s="55">
        <v>-10000</v>
      </c>
      <c r="C100" s="41">
        <v>-2</v>
      </c>
      <c r="F100" t="str">
        <f>B106*100&amp;"% +"</f>
        <v>1000% +</v>
      </c>
      <c r="G100" s="65">
        <f>C106</f>
        <v>-2</v>
      </c>
    </row>
    <row r="101" spans="1:9" x14ac:dyDescent="0.2">
      <c r="B101" s="55" t="s">
        <v>194</v>
      </c>
      <c r="C101" s="41">
        <v>5</v>
      </c>
      <c r="F101" t="str">
        <f>B105*100&amp;"% to "&amp;B106*100&amp;"%"</f>
        <v>500% to 1000%</v>
      </c>
      <c r="G101" s="65">
        <f>C105</f>
        <v>0.5</v>
      </c>
    </row>
    <row r="102" spans="1:9" x14ac:dyDescent="0.2">
      <c r="B102" s="55">
        <v>0</v>
      </c>
      <c r="C102" s="41">
        <v>4</v>
      </c>
      <c r="F102" t="str">
        <f>B104*100&amp;"% to "&amp;B105*100&amp;"%"</f>
        <v>200% to 500%</v>
      </c>
      <c r="G102" s="65">
        <f>C104</f>
        <v>2</v>
      </c>
    </row>
    <row r="103" spans="1:9" x14ac:dyDescent="0.2">
      <c r="B103" s="55">
        <v>1</v>
      </c>
      <c r="C103" s="41">
        <v>3</v>
      </c>
      <c r="F103" t="str">
        <f>B103*100&amp;"% to "&amp;B104*100&amp;"%"</f>
        <v>100% to 200%</v>
      </c>
      <c r="G103" s="65">
        <f>C103</f>
        <v>3</v>
      </c>
    </row>
    <row r="104" spans="1:9" x14ac:dyDescent="0.2">
      <c r="B104" s="55">
        <v>2</v>
      </c>
      <c r="C104" s="41">
        <v>2</v>
      </c>
      <c r="F104" t="str">
        <f>B102*100&amp;"% to "&amp;B103*100&amp;"%"</f>
        <v>0% to 100%</v>
      </c>
      <c r="G104" s="65">
        <f>C102</f>
        <v>4</v>
      </c>
    </row>
    <row r="105" spans="1:9" x14ac:dyDescent="0.2">
      <c r="B105" s="55">
        <v>5</v>
      </c>
      <c r="C105" s="41">
        <v>0.5</v>
      </c>
      <c r="F105" t="str">
        <f>B102*100&amp;"%"</f>
        <v>0%</v>
      </c>
      <c r="G105" s="65">
        <f>C101</f>
        <v>5</v>
      </c>
      <c r="H105" s="151" t="s">
        <v>355</v>
      </c>
    </row>
    <row r="106" spans="1:9" ht="15.75" thickBot="1" x14ac:dyDescent="0.25">
      <c r="B106" s="56">
        <v>10</v>
      </c>
      <c r="C106" s="43">
        <v>-2</v>
      </c>
    </row>
    <row r="108" spans="1:9" ht="16.5" thickBot="1" x14ac:dyDescent="0.3">
      <c r="A108" s="27" t="s">
        <v>209</v>
      </c>
      <c r="G108" s="27" t="s">
        <v>356</v>
      </c>
      <c r="H108" s="27" t="s">
        <v>356</v>
      </c>
      <c r="I108" s="27" t="s">
        <v>356</v>
      </c>
    </row>
    <row r="109" spans="1:9" ht="15.75" x14ac:dyDescent="0.25">
      <c r="B109" s="121" t="s">
        <v>303</v>
      </c>
      <c r="C109" s="122"/>
      <c r="D109" s="122"/>
      <c r="E109" s="39" t="s">
        <v>188</v>
      </c>
      <c r="G109" s="27" t="s">
        <v>232</v>
      </c>
      <c r="H109" s="27" t="s">
        <v>233</v>
      </c>
      <c r="I109" s="27" t="s">
        <v>239</v>
      </c>
    </row>
    <row r="110" spans="1:9" x14ac:dyDescent="0.2">
      <c r="B110" s="69" t="s">
        <v>263</v>
      </c>
      <c r="C110" s="60"/>
      <c r="D110" s="60"/>
      <c r="E110" s="41" t="s">
        <v>264</v>
      </c>
      <c r="G110" t="s">
        <v>228</v>
      </c>
      <c r="H110" t="s">
        <v>215</v>
      </c>
      <c r="I110" s="136" t="s">
        <v>236</v>
      </c>
    </row>
    <row r="111" spans="1:9" x14ac:dyDescent="0.2">
      <c r="B111" s="69" t="str">
        <f>$G$110&amp;":"&amp;$H$110&amp;":"&amp;$I$110</f>
        <v>Below2:High Variability:Favourable Trend</v>
      </c>
      <c r="C111" s="60"/>
      <c r="D111" s="60"/>
      <c r="E111" s="41">
        <v>2</v>
      </c>
      <c r="G111" t="s">
        <v>229</v>
      </c>
      <c r="H111" t="s">
        <v>214</v>
      </c>
      <c r="I111" s="136" t="s">
        <v>217</v>
      </c>
    </row>
    <row r="112" spans="1:9" x14ac:dyDescent="0.2">
      <c r="B112" s="69" t="str">
        <f>$G$110&amp;":"&amp;$H$110&amp;":"&amp;$I$111</f>
        <v>Below2:High Variability:Negative Trend</v>
      </c>
      <c r="C112" s="61"/>
      <c r="D112" s="61"/>
      <c r="E112" s="41">
        <v>-2</v>
      </c>
      <c r="G112" t="s">
        <v>230</v>
      </c>
    </row>
    <row r="113" spans="2:17" x14ac:dyDescent="0.2">
      <c r="B113" s="69" t="str">
        <f>$G$110&amp;":"&amp;$H$111&amp;":"&amp;$I$110</f>
        <v>Below2:Low Variability:Favourable Trend</v>
      </c>
      <c r="C113" s="61"/>
      <c r="D113" s="61"/>
      <c r="E113" s="41">
        <v>3</v>
      </c>
      <c r="G113" t="s">
        <v>231</v>
      </c>
      <c r="P113" t="s">
        <v>219</v>
      </c>
    </row>
    <row r="114" spans="2:17" x14ac:dyDescent="0.2">
      <c r="B114" s="69" t="str">
        <f>$G$110&amp;":"&amp;$H$111&amp;":"&amp;$I$111</f>
        <v>Below2:Low Variability:Negative Trend</v>
      </c>
      <c r="C114" s="61"/>
      <c r="D114" s="61"/>
      <c r="E114" s="41">
        <v>2</v>
      </c>
      <c r="N114" t="s">
        <v>218</v>
      </c>
      <c r="P114" s="65">
        <v>3</v>
      </c>
      <c r="Q114" s="124" t="s">
        <v>305</v>
      </c>
    </row>
    <row r="115" spans="2:17" x14ac:dyDescent="0.2">
      <c r="B115" s="69" t="str">
        <f>$G$111&amp;":"&amp;$H$110&amp;":"&amp;$I$110</f>
        <v>2 - 2.99:High Variability:Favourable Trend</v>
      </c>
      <c r="C115" s="61"/>
      <c r="D115" s="61"/>
      <c r="E115" s="41">
        <v>2</v>
      </c>
      <c r="L115" t="s">
        <v>215</v>
      </c>
      <c r="P115" s="65"/>
      <c r="Q115" s="124"/>
    </row>
    <row r="116" spans="2:17" x14ac:dyDescent="0.2">
      <c r="B116" s="69" t="str">
        <f>$G$111&amp;":"&amp;$H$110&amp;":"&amp;$I$111</f>
        <v>2 - 2.99:High Variability:Negative Trend</v>
      </c>
      <c r="C116" s="61"/>
      <c r="D116" s="61"/>
      <c r="E116" s="41">
        <v>0.5</v>
      </c>
      <c r="N116" t="s">
        <v>216</v>
      </c>
      <c r="P116" s="65">
        <v>2</v>
      </c>
      <c r="Q116" s="124" t="s">
        <v>304</v>
      </c>
    </row>
    <row r="117" spans="2:17" x14ac:dyDescent="0.2">
      <c r="B117" s="69" t="str">
        <f>$G$111&amp;":"&amp;$H$111&amp;":"&amp;$I$110</f>
        <v>2 - 2.99:Low Variability:Favourable Trend</v>
      </c>
      <c r="C117" s="61"/>
      <c r="D117" s="61"/>
      <c r="E117" s="41">
        <v>3</v>
      </c>
      <c r="J117" t="s">
        <v>236</v>
      </c>
      <c r="P117" s="65"/>
      <c r="Q117" s="124"/>
    </row>
    <row r="118" spans="2:17" x14ac:dyDescent="0.2">
      <c r="B118" s="69" t="str">
        <f>$G$111&amp;":"&amp;$H$111&amp;":"&amp;$I$111</f>
        <v>2 - 2.99:Low Variability:Negative Trend</v>
      </c>
      <c r="C118" s="61"/>
      <c r="D118" s="61"/>
      <c r="E118" s="41">
        <v>2</v>
      </c>
      <c r="N118" t="s">
        <v>234</v>
      </c>
      <c r="P118" s="65">
        <v>5</v>
      </c>
      <c r="Q118" s="124" t="s">
        <v>307</v>
      </c>
    </row>
    <row r="119" spans="2:17" x14ac:dyDescent="0.2">
      <c r="B119" s="69" t="str">
        <f>$G$112&amp;":"&amp;$H$110&amp;":"&amp;$I$110</f>
        <v>3 - 3.99:High Variability:Favourable Trend</v>
      </c>
      <c r="C119" s="61"/>
      <c r="D119" s="61"/>
      <c r="E119" s="41">
        <v>3</v>
      </c>
      <c r="P119" s="65"/>
      <c r="Q119" s="124"/>
    </row>
    <row r="120" spans="2:17" x14ac:dyDescent="0.2">
      <c r="B120" s="69" t="str">
        <f>$G$112&amp;":"&amp;$H$110&amp;":"&amp;$I$111</f>
        <v>3 - 3.99:High Variability:Negative Trend</v>
      </c>
      <c r="C120" s="61"/>
      <c r="D120" s="61"/>
      <c r="E120" s="41">
        <v>2</v>
      </c>
      <c r="L120" t="s">
        <v>214</v>
      </c>
      <c r="N120" t="s">
        <v>235</v>
      </c>
      <c r="P120" s="65">
        <v>4</v>
      </c>
      <c r="Q120" s="124" t="s">
        <v>306</v>
      </c>
    </row>
    <row r="121" spans="2:17" x14ac:dyDescent="0.2">
      <c r="B121" s="69" t="str">
        <f>$G$112&amp;":"&amp;$H$111&amp;":"&amp;$I$110</f>
        <v>3 - 3.99:Low Variability:Favourable Trend</v>
      </c>
      <c r="C121" s="61"/>
      <c r="D121" s="61"/>
      <c r="E121" s="41">
        <v>4</v>
      </c>
      <c r="P121" s="65"/>
      <c r="Q121" s="124"/>
    </row>
    <row r="122" spans="2:17" x14ac:dyDescent="0.2">
      <c r="B122" s="69" t="str">
        <f>$G$112&amp;":"&amp;$H$111&amp;":"&amp;$I$111</f>
        <v>3 - 3.99:Low Variability:Negative Trend</v>
      </c>
      <c r="C122" s="61"/>
      <c r="D122" s="61"/>
      <c r="E122" s="41">
        <v>3</v>
      </c>
      <c r="N122" t="s">
        <v>216</v>
      </c>
      <c r="P122" s="65">
        <v>3</v>
      </c>
      <c r="Q122" s="124" t="s">
        <v>305</v>
      </c>
    </row>
    <row r="123" spans="2:17" x14ac:dyDescent="0.2">
      <c r="B123" s="69" t="str">
        <f>$G$113&amp;":"&amp;$H$110&amp;":"&amp;$I$110</f>
        <v>4 or above:High Variability:Favourable Trend</v>
      </c>
      <c r="C123" s="61"/>
      <c r="D123" s="61"/>
      <c r="E123" s="41">
        <v>3</v>
      </c>
      <c r="P123" s="65"/>
      <c r="Q123" s="124"/>
    </row>
    <row r="124" spans="2:17" x14ac:dyDescent="0.2">
      <c r="B124" s="69" t="str">
        <f>$G$113&amp;":"&amp;$H$110&amp;":"&amp;$I$111</f>
        <v>4 or above:High Variability:Negative Trend</v>
      </c>
      <c r="C124" s="61"/>
      <c r="D124" s="61"/>
      <c r="E124" s="41">
        <v>2</v>
      </c>
      <c r="N124" t="s">
        <v>218</v>
      </c>
      <c r="P124" s="65">
        <v>2</v>
      </c>
      <c r="Q124" s="124" t="s">
        <v>304</v>
      </c>
    </row>
    <row r="125" spans="2:17" x14ac:dyDescent="0.2">
      <c r="B125" s="69" t="str">
        <f>$G$113&amp;":"&amp;$H$111&amp;":"&amp;$I$110</f>
        <v>4 or above:Low Variability:Favourable Trend</v>
      </c>
      <c r="C125" s="61"/>
      <c r="D125" s="61"/>
      <c r="E125" s="41">
        <v>5</v>
      </c>
      <c r="P125" s="65"/>
      <c r="Q125" s="124"/>
    </row>
    <row r="126" spans="2:17" ht="15.75" thickBot="1" x14ac:dyDescent="0.25">
      <c r="B126" s="70" t="str">
        <f>$G$113&amp;":"&amp;$H$111&amp;":"&amp;$I$111</f>
        <v>4 or above:Low Variability:Negative Trend</v>
      </c>
      <c r="C126" s="62"/>
      <c r="D126" s="62"/>
      <c r="E126" s="43">
        <v>3</v>
      </c>
      <c r="L126" t="s">
        <v>215</v>
      </c>
      <c r="N126" t="s">
        <v>237</v>
      </c>
      <c r="P126" s="65">
        <v>0.5</v>
      </c>
      <c r="Q126" s="124" t="s">
        <v>308</v>
      </c>
    </row>
    <row r="127" spans="2:17" x14ac:dyDescent="0.2">
      <c r="P127" s="65"/>
      <c r="Q127" s="124"/>
    </row>
    <row r="128" spans="2:17" x14ac:dyDescent="0.2">
      <c r="B128" s="67"/>
      <c r="N128" t="s">
        <v>238</v>
      </c>
      <c r="P128" s="123">
        <v>-2</v>
      </c>
      <c r="Q128" s="124" t="s">
        <v>309</v>
      </c>
    </row>
    <row r="129" spans="10:17" x14ac:dyDescent="0.2">
      <c r="J129" t="s">
        <v>217</v>
      </c>
      <c r="P129" s="65"/>
      <c r="Q129" s="124"/>
    </row>
    <row r="130" spans="10:17" x14ac:dyDescent="0.2">
      <c r="N130" t="s">
        <v>218</v>
      </c>
      <c r="P130" s="65">
        <v>3</v>
      </c>
      <c r="Q130" s="124" t="s">
        <v>305</v>
      </c>
    </row>
    <row r="131" spans="10:17" x14ac:dyDescent="0.2">
      <c r="L131" t="s">
        <v>214</v>
      </c>
      <c r="P131" s="65"/>
      <c r="Q131" s="124"/>
    </row>
    <row r="132" spans="10:17" x14ac:dyDescent="0.2">
      <c r="N132" t="s">
        <v>216</v>
      </c>
      <c r="P132" s="65">
        <v>2</v>
      </c>
      <c r="Q132" s="124" t="s">
        <v>304</v>
      </c>
    </row>
    <row r="137" spans="10:17" x14ac:dyDescent="0.2">
      <c r="J137" s="66"/>
    </row>
  </sheetData>
  <sheetProtection password="CB59" sheet="1"/>
  <phoneticPr fontId="21" type="noConversion"/>
  <pageMargins left="0.74803149606299213" right="0.74803149606299213" top="0.98425196850393704" bottom="0.98425196850393704" header="0.51181102362204722" footer="0.51181102362204722"/>
  <pageSetup paperSize="9" scale="4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2"/>
  <sheetViews>
    <sheetView zoomScale="70" workbookViewId="0">
      <pane xSplit="4" ySplit="10" topLeftCell="E17" activePane="bottomRight" state="frozen"/>
      <selection activeCell="A6" sqref="A6"/>
      <selection pane="topRight" activeCell="E6" sqref="E6"/>
      <selection pane="bottomLeft" activeCell="A11" sqref="A11"/>
      <selection pane="bottomRight" activeCell="E11" sqref="E11"/>
    </sheetView>
  </sheetViews>
  <sheetFormatPr defaultRowHeight="15" x14ac:dyDescent="0.2"/>
  <cols>
    <col min="1" max="1" width="5.77734375" style="1" customWidth="1"/>
    <col min="2" max="2" width="5.109375" style="1" customWidth="1"/>
    <col min="3" max="3" width="33.109375" style="1" customWidth="1"/>
    <col min="4" max="4" width="1.33203125" customWidth="1"/>
    <col min="5" max="5" width="8.6640625" style="137" bestFit="1" customWidth="1"/>
    <col min="6" max="6" width="8.6640625" style="138" bestFit="1" customWidth="1"/>
    <col min="7" max="7" width="8.6640625" style="109" bestFit="1" customWidth="1"/>
    <col min="8" max="8" width="8.77734375" style="109" customWidth="1"/>
    <col min="9" max="9" width="11.33203125" style="109" bestFit="1" customWidth="1"/>
    <col min="10" max="10" width="13.21875" style="140" customWidth="1"/>
    <col min="11" max="11" width="9.5546875" style="140" customWidth="1"/>
    <col min="12" max="13" width="9.6640625" style="140" customWidth="1"/>
  </cols>
  <sheetData>
    <row r="1" spans="1:13" ht="9.9499999999999993" hidden="1" customHeight="1" x14ac:dyDescent="0.3">
      <c r="J1" s="76"/>
      <c r="K1" s="139"/>
      <c r="M1" s="139" t="s">
        <v>281</v>
      </c>
    </row>
    <row r="2" spans="1:13" ht="21" hidden="1" customHeight="1" thickBot="1" x14ac:dyDescent="0.35">
      <c r="J2" s="108"/>
      <c r="K2" s="141" t="s">
        <v>248</v>
      </c>
      <c r="L2" s="142"/>
      <c r="M2" s="142"/>
    </row>
    <row r="3" spans="1:13" ht="20.25" hidden="1" customHeight="1" x14ac:dyDescent="0.3">
      <c r="A3" s="2"/>
      <c r="I3" s="143"/>
      <c r="J3" s="76"/>
      <c r="K3" s="139"/>
      <c r="L3" s="139"/>
      <c r="M3" s="139"/>
    </row>
    <row r="4" spans="1:13" ht="20.25" hidden="1" customHeight="1" x14ac:dyDescent="0.3">
      <c r="J4" s="76"/>
      <c r="K4" s="139"/>
      <c r="L4" s="139"/>
      <c r="M4" s="139"/>
    </row>
    <row r="5" spans="1:13" ht="15" hidden="1" customHeight="1" x14ac:dyDescent="0.2"/>
    <row r="6" spans="1:13" ht="20.25" x14ac:dyDescent="0.3">
      <c r="A6" s="3" t="s">
        <v>0</v>
      </c>
      <c r="B6" s="4"/>
      <c r="C6" s="4"/>
      <c r="E6" s="144"/>
      <c r="F6" s="144"/>
      <c r="G6" s="131"/>
      <c r="H6" s="110"/>
      <c r="I6" s="299" t="s">
        <v>249</v>
      </c>
      <c r="J6" s="300"/>
      <c r="K6" s="300"/>
      <c r="L6" s="300"/>
      <c r="M6" s="300"/>
    </row>
    <row r="7" spans="1:13" ht="20.25" x14ac:dyDescent="0.3">
      <c r="A7" s="5"/>
      <c r="B7" s="4"/>
      <c r="C7" s="4"/>
      <c r="E7" s="111">
        <v>2006</v>
      </c>
      <c r="F7" s="111">
        <v>2007</v>
      </c>
      <c r="G7" s="111">
        <v>2008</v>
      </c>
      <c r="H7" s="301">
        <v>2009</v>
      </c>
      <c r="I7" s="291" t="s">
        <v>511</v>
      </c>
      <c r="J7" s="283" t="s">
        <v>455</v>
      </c>
      <c r="K7" s="244" t="s">
        <v>478</v>
      </c>
      <c r="L7" s="245"/>
      <c r="M7" s="245"/>
    </row>
    <row r="8" spans="1:13" ht="80.099999999999994" customHeight="1" x14ac:dyDescent="0.2">
      <c r="A8" s="6" t="s">
        <v>1</v>
      </c>
      <c r="B8" s="7"/>
      <c r="C8" s="7"/>
      <c r="E8" s="302" t="s">
        <v>481</v>
      </c>
      <c r="F8" s="302" t="s">
        <v>481</v>
      </c>
      <c r="G8" s="292" t="s">
        <v>481</v>
      </c>
      <c r="H8" s="292" t="s">
        <v>481</v>
      </c>
      <c r="I8" s="303" t="s">
        <v>481</v>
      </c>
      <c r="J8" s="283">
        <v>2011</v>
      </c>
      <c r="K8" s="304">
        <v>2012</v>
      </c>
      <c r="L8" s="246">
        <v>2013</v>
      </c>
      <c r="M8" s="246">
        <v>2014</v>
      </c>
    </row>
    <row r="9" spans="1:13" x14ac:dyDescent="0.2">
      <c r="A9" s="8"/>
      <c r="B9" s="8"/>
      <c r="C9" s="8"/>
      <c r="E9" s="294"/>
      <c r="F9" s="294"/>
      <c r="G9" s="293"/>
      <c r="H9" s="294"/>
      <c r="I9" s="295"/>
      <c r="J9" s="283" t="s">
        <v>246</v>
      </c>
      <c r="K9" s="261" t="s">
        <v>246</v>
      </c>
      <c r="L9" s="247" t="s">
        <v>246</v>
      </c>
      <c r="M9" s="311" t="s">
        <v>246</v>
      </c>
    </row>
    <row r="10" spans="1:13" x14ac:dyDescent="0.2">
      <c r="A10" s="8"/>
      <c r="B10" s="8"/>
      <c r="C10" s="8"/>
      <c r="E10" s="297"/>
      <c r="F10" s="297"/>
      <c r="G10" s="296"/>
      <c r="H10" s="297"/>
      <c r="I10" s="298"/>
      <c r="J10" s="283" t="s">
        <v>482</v>
      </c>
      <c r="K10" s="262" t="s">
        <v>247</v>
      </c>
      <c r="L10" s="248" t="s">
        <v>247</v>
      </c>
      <c r="M10" s="248" t="s">
        <v>247</v>
      </c>
    </row>
    <row r="11" spans="1:13" ht="19.5" x14ac:dyDescent="0.2">
      <c r="A11" s="9" t="s">
        <v>2</v>
      </c>
      <c r="B11" s="8"/>
      <c r="C11" s="8"/>
      <c r="E11" s="312"/>
      <c r="F11" s="312"/>
      <c r="G11" s="312"/>
      <c r="H11" s="312"/>
      <c r="I11" s="312"/>
      <c r="J11" s="312"/>
      <c r="K11" s="312"/>
      <c r="L11" s="312"/>
      <c r="M11" s="312"/>
    </row>
    <row r="12" spans="1:13" ht="15.75" x14ac:dyDescent="0.2">
      <c r="A12" s="10"/>
      <c r="B12" s="11" t="s">
        <v>3</v>
      </c>
      <c r="C12" s="10"/>
      <c r="E12" s="312"/>
      <c r="F12" s="312"/>
      <c r="G12" s="312"/>
      <c r="H12" s="312"/>
      <c r="I12" s="312"/>
      <c r="J12" s="312"/>
      <c r="K12" s="312"/>
      <c r="L12" s="312"/>
      <c r="M12" s="312"/>
    </row>
    <row r="13" spans="1:13" x14ac:dyDescent="0.2">
      <c r="A13" s="10"/>
      <c r="B13" s="10"/>
      <c r="C13" s="10" t="s">
        <v>484</v>
      </c>
      <c r="E13" s="313">
        <v>50343</v>
      </c>
      <c r="F13" s="313">
        <v>57195</v>
      </c>
      <c r="G13" s="313">
        <v>49904</v>
      </c>
      <c r="H13" s="313">
        <v>45531</v>
      </c>
      <c r="I13" s="313">
        <v>52808</v>
      </c>
      <c r="J13" s="313">
        <v>68346.976999999999</v>
      </c>
      <c r="K13" s="313">
        <v>69771.659</v>
      </c>
      <c r="L13" s="313">
        <v>63519.8</v>
      </c>
      <c r="M13" s="313">
        <v>64211.457999999999</v>
      </c>
    </row>
    <row r="14" spans="1:13" x14ac:dyDescent="0.2">
      <c r="A14" s="10"/>
      <c r="B14" s="10"/>
      <c r="C14" s="10" t="s">
        <v>4</v>
      </c>
      <c r="E14" s="313">
        <v>0</v>
      </c>
      <c r="F14" s="313">
        <v>0</v>
      </c>
      <c r="G14" s="313">
        <v>0</v>
      </c>
      <c r="H14" s="313">
        <v>0</v>
      </c>
      <c r="I14" s="313">
        <v>0</v>
      </c>
      <c r="J14" s="313">
        <v>0</v>
      </c>
      <c r="K14" s="313">
        <v>0</v>
      </c>
      <c r="L14" s="313">
        <v>0</v>
      </c>
      <c r="M14" s="313">
        <v>0</v>
      </c>
    </row>
    <row r="15" spans="1:13" x14ac:dyDescent="0.2">
      <c r="A15" s="10"/>
      <c r="B15" s="10"/>
      <c r="C15" s="10" t="s">
        <v>5</v>
      </c>
      <c r="E15" s="313">
        <v>2868</v>
      </c>
      <c r="F15" s="313">
        <v>3368</v>
      </c>
      <c r="G15" s="313">
        <v>3926</v>
      </c>
      <c r="H15" s="313">
        <v>4455</v>
      </c>
      <c r="I15" s="313">
        <v>4602</v>
      </c>
      <c r="J15" s="313">
        <v>3940.4940000000001</v>
      </c>
      <c r="K15" s="313">
        <v>4168.9372146118712</v>
      </c>
      <c r="L15" s="313">
        <v>4311.9626523972602</v>
      </c>
      <c r="M15" s="313">
        <v>4348.7122789212317</v>
      </c>
    </row>
    <row r="16" spans="1:13" x14ac:dyDescent="0.2">
      <c r="A16" s="10"/>
      <c r="B16" s="10"/>
      <c r="C16" s="10" t="s">
        <v>485</v>
      </c>
      <c r="E16" s="313">
        <v>679</v>
      </c>
      <c r="F16" s="313">
        <v>634</v>
      </c>
      <c r="G16" s="313">
        <v>486</v>
      </c>
      <c r="H16" s="313">
        <v>162</v>
      </c>
      <c r="I16" s="313">
        <v>135</v>
      </c>
      <c r="J16" s="313">
        <v>799.89200000000005</v>
      </c>
      <c r="K16" s="313">
        <v>711.29600000000005</v>
      </c>
      <c r="L16" s="313">
        <v>690.29600000000005</v>
      </c>
      <c r="M16" s="313">
        <v>690.29600000000005</v>
      </c>
    </row>
    <row r="17" spans="1:14" x14ac:dyDescent="0.2">
      <c r="A17" s="10"/>
      <c r="B17" s="10"/>
      <c r="C17" s="316" t="s">
        <v>6</v>
      </c>
      <c r="E17" s="89">
        <v>53890</v>
      </c>
      <c r="F17" s="89">
        <v>61197</v>
      </c>
      <c r="G17" s="89">
        <v>54316</v>
      </c>
      <c r="H17" s="89">
        <v>50148</v>
      </c>
      <c r="I17" s="89">
        <v>57545</v>
      </c>
      <c r="J17" s="89">
        <v>73087.363000000012</v>
      </c>
      <c r="K17" s="89">
        <v>74651.892214611871</v>
      </c>
      <c r="L17" s="89">
        <v>68522.05865239726</v>
      </c>
      <c r="M17" s="89">
        <v>69250.466278921231</v>
      </c>
      <c r="N17" t="s">
        <v>158</v>
      </c>
    </row>
    <row r="18" spans="1:14" x14ac:dyDescent="0.2">
      <c r="A18" s="13"/>
      <c r="B18" s="13"/>
      <c r="C18" s="13" t="s">
        <v>486</v>
      </c>
      <c r="E18" s="250">
        <v>0.57682633128177685</v>
      </c>
      <c r="F18" s="250">
        <v>0.62718552073298217</v>
      </c>
      <c r="G18" s="250">
        <v>0.56899224806201554</v>
      </c>
      <c r="H18" s="250">
        <v>0.51055251824928993</v>
      </c>
      <c r="I18" s="250">
        <v>0.53559628074943455</v>
      </c>
      <c r="J18" s="250">
        <v>0.66801028804036089</v>
      </c>
      <c r="K18" s="250">
        <v>0.66627544036578112</v>
      </c>
      <c r="L18" s="250">
        <v>0.64096929792705037</v>
      </c>
      <c r="M18" s="250">
        <v>0.63697406017410352</v>
      </c>
    </row>
    <row r="19" spans="1:14" ht="15.75" x14ac:dyDescent="0.2">
      <c r="A19" s="10"/>
      <c r="B19" s="11" t="s">
        <v>7</v>
      </c>
      <c r="C19" s="10"/>
      <c r="E19" s="312"/>
      <c r="F19" s="312"/>
      <c r="G19" s="312"/>
      <c r="H19" s="312"/>
      <c r="I19" s="312"/>
      <c r="J19" s="312"/>
      <c r="K19" s="312"/>
      <c r="L19" s="312"/>
      <c r="M19" s="312"/>
    </row>
    <row r="20" spans="1:14" x14ac:dyDescent="0.2">
      <c r="A20" s="10"/>
      <c r="B20" s="10"/>
      <c r="C20" s="10" t="s">
        <v>8</v>
      </c>
      <c r="E20" s="313">
        <v>15426</v>
      </c>
      <c r="F20" s="313">
        <v>14621</v>
      </c>
      <c r="G20" s="313">
        <v>15364</v>
      </c>
      <c r="H20" s="313">
        <v>16610</v>
      </c>
      <c r="I20" s="313">
        <v>17805</v>
      </c>
      <c r="J20" s="313">
        <v>19118.826000000001</v>
      </c>
      <c r="K20" s="313">
        <v>19217.520051548996</v>
      </c>
      <c r="L20" s="313">
        <v>19796.274200368272</v>
      </c>
      <c r="M20" s="313">
        <v>20073.439464058381</v>
      </c>
    </row>
    <row r="21" spans="1:14" x14ac:dyDescent="0.2">
      <c r="A21" s="10"/>
      <c r="B21" s="10"/>
      <c r="C21" s="10" t="s">
        <v>9</v>
      </c>
      <c r="E21" s="313">
        <v>87</v>
      </c>
      <c r="F21" s="313">
        <v>1131</v>
      </c>
      <c r="G21" s="313">
        <v>566</v>
      </c>
      <c r="H21" s="313">
        <v>44</v>
      </c>
      <c r="I21" s="313">
        <v>43</v>
      </c>
      <c r="J21" s="313">
        <v>368.25</v>
      </c>
      <c r="K21" s="313">
        <v>371.9325</v>
      </c>
      <c r="L21" s="313">
        <v>375.65182499999997</v>
      </c>
      <c r="M21" s="313">
        <v>379.40834325000003</v>
      </c>
    </row>
    <row r="22" spans="1:14" x14ac:dyDescent="0.2">
      <c r="A22" s="10"/>
      <c r="B22" s="10"/>
      <c r="C22" s="10" t="s">
        <v>10</v>
      </c>
      <c r="E22" s="313">
        <v>11299</v>
      </c>
      <c r="F22" s="313">
        <v>11621</v>
      </c>
      <c r="G22" s="313">
        <v>8203</v>
      </c>
      <c r="H22" s="313">
        <v>6114</v>
      </c>
      <c r="I22" s="313">
        <v>7481</v>
      </c>
      <c r="J22" s="313">
        <v>7517.4609999999984</v>
      </c>
      <c r="K22" s="313">
        <v>8479.7717957652312</v>
      </c>
      <c r="L22" s="313">
        <v>9307.3143742174761</v>
      </c>
      <c r="M22" s="313">
        <v>9974.6156363054251</v>
      </c>
    </row>
    <row r="23" spans="1:14" x14ac:dyDescent="0.2">
      <c r="A23" s="10"/>
      <c r="B23" s="10"/>
      <c r="C23" s="12" t="s">
        <v>11</v>
      </c>
      <c r="E23" s="89">
        <v>26812</v>
      </c>
      <c r="F23" s="89">
        <v>27373</v>
      </c>
      <c r="G23" s="89">
        <v>24133</v>
      </c>
      <c r="H23" s="89">
        <v>22768</v>
      </c>
      <c r="I23" s="89">
        <v>25329</v>
      </c>
      <c r="J23" s="89">
        <v>27004.537</v>
      </c>
      <c r="K23" s="89">
        <v>28069.224347314226</v>
      </c>
      <c r="L23" s="89">
        <v>29479.240399585749</v>
      </c>
      <c r="M23" s="89">
        <v>30427.463443613808</v>
      </c>
    </row>
    <row r="24" spans="1:14" x14ac:dyDescent="0.2">
      <c r="A24" s="13"/>
      <c r="B24" s="13"/>
      <c r="C24" s="13" t="s">
        <v>486</v>
      </c>
      <c r="E24" s="250">
        <v>0.28698956382124696</v>
      </c>
      <c r="F24" s="250">
        <v>0.28053579847090415</v>
      </c>
      <c r="G24" s="250">
        <v>0.25280745862141213</v>
      </c>
      <c r="H24" s="250">
        <v>0.23179906946438206</v>
      </c>
      <c r="I24" s="250">
        <v>0.23574799192114743</v>
      </c>
      <c r="J24" s="250">
        <v>0.24681843480611801</v>
      </c>
      <c r="K24" s="250">
        <v>0.25052057299455993</v>
      </c>
      <c r="L24" s="250">
        <v>0.27575482105986265</v>
      </c>
      <c r="M24" s="250">
        <v>0.27987544303910666</v>
      </c>
    </row>
    <row r="25" spans="1:14" ht="15.75" x14ac:dyDescent="0.2">
      <c r="A25" s="13"/>
      <c r="B25" s="11" t="s">
        <v>12</v>
      </c>
      <c r="C25" s="13"/>
      <c r="E25" s="312"/>
      <c r="F25" s="312"/>
      <c r="G25" s="312"/>
      <c r="H25" s="312"/>
      <c r="I25" s="312"/>
      <c r="J25" s="312"/>
      <c r="K25" s="312"/>
      <c r="L25" s="312"/>
      <c r="M25" s="312"/>
    </row>
    <row r="26" spans="1:14" x14ac:dyDescent="0.2">
      <c r="A26" s="10"/>
      <c r="B26" s="10"/>
      <c r="C26" s="10" t="s">
        <v>13</v>
      </c>
      <c r="E26" s="313">
        <v>31</v>
      </c>
      <c r="F26" s="313">
        <v>519</v>
      </c>
      <c r="G26" s="313">
        <v>263</v>
      </c>
      <c r="H26" s="313">
        <v>286</v>
      </c>
      <c r="I26" s="313">
        <v>490</v>
      </c>
      <c r="J26" s="313">
        <v>554</v>
      </c>
      <c r="K26" s="313">
        <v>581</v>
      </c>
      <c r="L26" s="313">
        <v>581</v>
      </c>
      <c r="M26" s="313">
        <v>581</v>
      </c>
    </row>
    <row r="27" spans="1:14" x14ac:dyDescent="0.2">
      <c r="A27" s="10"/>
      <c r="B27" s="10"/>
      <c r="C27" s="10" t="s">
        <v>14</v>
      </c>
      <c r="E27" s="313">
        <v>118</v>
      </c>
      <c r="F27" s="313">
        <v>73</v>
      </c>
      <c r="G27" s="313">
        <v>83</v>
      </c>
      <c r="H27" s="313">
        <v>0</v>
      </c>
      <c r="I27" s="313">
        <v>194</v>
      </c>
      <c r="J27" s="313">
        <v>0</v>
      </c>
      <c r="K27" s="313">
        <v>0</v>
      </c>
      <c r="L27" s="313">
        <v>0</v>
      </c>
      <c r="M27" s="313">
        <v>0</v>
      </c>
    </row>
    <row r="28" spans="1:14" x14ac:dyDescent="0.2">
      <c r="A28" s="10"/>
      <c r="B28" s="10"/>
      <c r="C28" s="10" t="s">
        <v>487</v>
      </c>
      <c r="E28" s="313">
        <v>0</v>
      </c>
      <c r="F28" s="313">
        <v>0</v>
      </c>
      <c r="G28" s="313">
        <v>0</v>
      </c>
      <c r="H28" s="313">
        <v>0</v>
      </c>
      <c r="I28" s="313">
        <v>0</v>
      </c>
      <c r="J28" s="313">
        <v>0</v>
      </c>
      <c r="K28" s="313">
        <v>0</v>
      </c>
      <c r="L28" s="313">
        <v>0</v>
      </c>
      <c r="M28" s="313">
        <v>0</v>
      </c>
    </row>
    <row r="29" spans="1:14" x14ac:dyDescent="0.2">
      <c r="A29" s="10"/>
      <c r="B29" s="10"/>
      <c r="C29" s="10" t="s">
        <v>15</v>
      </c>
      <c r="E29" s="313">
        <v>0</v>
      </c>
      <c r="F29" s="313">
        <v>0</v>
      </c>
      <c r="G29" s="313">
        <v>0</v>
      </c>
      <c r="H29" s="313">
        <v>0</v>
      </c>
      <c r="I29" s="313">
        <v>0</v>
      </c>
      <c r="J29" s="313">
        <v>0</v>
      </c>
      <c r="K29" s="313">
        <v>0</v>
      </c>
      <c r="L29" s="313">
        <v>0</v>
      </c>
      <c r="M29" s="313">
        <v>0</v>
      </c>
    </row>
    <row r="30" spans="1:14" x14ac:dyDescent="0.2">
      <c r="A30" s="10"/>
      <c r="B30" s="10"/>
      <c r="C30" s="12" t="s">
        <v>16</v>
      </c>
      <c r="E30" s="89">
        <v>149</v>
      </c>
      <c r="F30" s="89">
        <v>592</v>
      </c>
      <c r="G30" s="89">
        <v>346</v>
      </c>
      <c r="H30" s="89">
        <v>286</v>
      </c>
      <c r="I30" s="89">
        <v>684</v>
      </c>
      <c r="J30" s="89">
        <v>554</v>
      </c>
      <c r="K30" s="89">
        <v>581</v>
      </c>
      <c r="L30" s="89">
        <v>581</v>
      </c>
      <c r="M30" s="89">
        <v>581</v>
      </c>
    </row>
    <row r="31" spans="1:14" x14ac:dyDescent="0.2">
      <c r="A31" s="13"/>
      <c r="B31" s="13"/>
      <c r="C31" s="13" t="s">
        <v>486</v>
      </c>
      <c r="E31" s="250">
        <v>1.5948621889215948E-3</v>
      </c>
      <c r="F31" s="250">
        <v>6.0671900301309777E-3</v>
      </c>
      <c r="G31" s="250">
        <v>3.6245547873454851E-3</v>
      </c>
      <c r="H31" s="250">
        <v>2.9117416491045885E-3</v>
      </c>
      <c r="I31" s="250">
        <v>6.3662847516311278E-3</v>
      </c>
      <c r="J31" s="250">
        <v>5.0634977701187536E-3</v>
      </c>
      <c r="K31" s="250">
        <v>5.1854818326594176E-3</v>
      </c>
      <c r="L31" s="250">
        <v>5.4347923780977596E-3</v>
      </c>
      <c r="M31" s="250">
        <v>5.3441073951844475E-3</v>
      </c>
    </row>
    <row r="32" spans="1:14" ht="15.75" x14ac:dyDescent="0.2">
      <c r="A32" s="13"/>
      <c r="B32" s="11" t="s">
        <v>17</v>
      </c>
      <c r="C32" s="13"/>
      <c r="E32" s="312"/>
      <c r="F32" s="312"/>
      <c r="G32" s="312"/>
      <c r="H32" s="312"/>
      <c r="I32" s="312"/>
      <c r="J32" s="312"/>
      <c r="K32" s="312"/>
      <c r="L32" s="312"/>
      <c r="M32" s="312"/>
    </row>
    <row r="33" spans="1:13" x14ac:dyDescent="0.2">
      <c r="A33" s="13"/>
      <c r="B33" s="13"/>
      <c r="C33" s="14" t="s">
        <v>488</v>
      </c>
      <c r="E33" s="313">
        <v>0</v>
      </c>
      <c r="F33" s="313">
        <v>222</v>
      </c>
      <c r="G33" s="313">
        <v>202</v>
      </c>
      <c r="H33" s="313">
        <v>8339</v>
      </c>
      <c r="I33" s="313">
        <v>7206</v>
      </c>
      <c r="J33" s="313">
        <v>200</v>
      </c>
      <c r="K33" s="313">
        <v>0</v>
      </c>
      <c r="L33" s="313">
        <v>0</v>
      </c>
      <c r="M33" s="313">
        <v>0</v>
      </c>
    </row>
    <row r="34" spans="1:13" x14ac:dyDescent="0.2">
      <c r="A34" s="13"/>
      <c r="B34" s="13"/>
      <c r="C34" s="10" t="s">
        <v>18</v>
      </c>
      <c r="E34" s="313">
        <v>1631</v>
      </c>
      <c r="F34" s="313">
        <v>1355</v>
      </c>
      <c r="G34" s="313">
        <v>2276</v>
      </c>
      <c r="H34" s="313">
        <v>1214</v>
      </c>
      <c r="I34" s="313">
        <v>1549</v>
      </c>
      <c r="J34" s="313">
        <v>791</v>
      </c>
      <c r="K34" s="313">
        <v>993.7548588256559</v>
      </c>
      <c r="L34" s="313">
        <v>891.22679594045303</v>
      </c>
      <c r="M34" s="313">
        <v>977.39142548568816</v>
      </c>
    </row>
    <row r="35" spans="1:13" x14ac:dyDescent="0.2">
      <c r="A35" s="13"/>
      <c r="B35" s="13"/>
      <c r="C35" s="10" t="s">
        <v>19</v>
      </c>
      <c r="E35" s="313">
        <v>42</v>
      </c>
      <c r="F35" s="313">
        <v>1</v>
      </c>
      <c r="G35" s="313">
        <v>4</v>
      </c>
      <c r="H35" s="313">
        <v>4</v>
      </c>
      <c r="I35" s="313">
        <v>12</v>
      </c>
      <c r="J35" s="313">
        <v>4</v>
      </c>
      <c r="K35" s="313">
        <v>6</v>
      </c>
      <c r="L35" s="313">
        <v>6</v>
      </c>
      <c r="M35" s="313">
        <v>6</v>
      </c>
    </row>
    <row r="36" spans="1:13" x14ac:dyDescent="0.2">
      <c r="A36" s="10"/>
      <c r="B36" s="10"/>
      <c r="C36" s="10" t="s">
        <v>20</v>
      </c>
      <c r="E36" s="313">
        <v>1505</v>
      </c>
      <c r="F36" s="313">
        <v>1107</v>
      </c>
      <c r="G36" s="313">
        <v>8339</v>
      </c>
      <c r="H36" s="313">
        <v>8143</v>
      </c>
      <c r="I36" s="313">
        <v>7939</v>
      </c>
      <c r="J36" s="313">
        <v>0</v>
      </c>
      <c r="K36" s="313">
        <v>170</v>
      </c>
      <c r="L36" s="313">
        <v>122</v>
      </c>
      <c r="M36" s="313">
        <v>124</v>
      </c>
    </row>
    <row r="37" spans="1:13" x14ac:dyDescent="0.2">
      <c r="A37" s="10"/>
      <c r="B37" s="10"/>
      <c r="C37" s="10" t="s">
        <v>21</v>
      </c>
      <c r="E37" s="313">
        <v>9392</v>
      </c>
      <c r="F37" s="313">
        <v>5722</v>
      </c>
      <c r="G37" s="313">
        <v>5818</v>
      </c>
      <c r="H37" s="313">
        <v>7300</v>
      </c>
      <c r="I37" s="313">
        <v>7177</v>
      </c>
      <c r="J37" s="313">
        <v>7769.6350000000239</v>
      </c>
      <c r="K37" s="313">
        <v>7571.7184999999936</v>
      </c>
      <c r="L37" s="313">
        <v>7302.2819849999978</v>
      </c>
      <c r="M37" s="313">
        <v>7351.553893849994</v>
      </c>
    </row>
    <row r="38" spans="1:13" x14ac:dyDescent="0.2">
      <c r="A38" s="10"/>
      <c r="B38" s="10"/>
      <c r="C38" s="10" t="s">
        <v>22</v>
      </c>
      <c r="E38" s="313">
        <v>4</v>
      </c>
      <c r="F38" s="313">
        <v>5</v>
      </c>
      <c r="G38" s="313">
        <v>26</v>
      </c>
      <c r="H38" s="313">
        <v>21</v>
      </c>
      <c r="I38" s="313">
        <v>0</v>
      </c>
      <c r="J38" s="313">
        <v>0</v>
      </c>
      <c r="K38" s="313">
        <v>0</v>
      </c>
      <c r="L38" s="313">
        <v>0</v>
      </c>
      <c r="M38" s="313">
        <v>0</v>
      </c>
    </row>
    <row r="39" spans="1:13" x14ac:dyDescent="0.2">
      <c r="A39" s="13"/>
      <c r="B39" s="13"/>
      <c r="C39" s="12" t="s">
        <v>23</v>
      </c>
      <c r="E39" s="306">
        <v>12574</v>
      </c>
      <c r="F39" s="306">
        <v>8412</v>
      </c>
      <c r="G39" s="306">
        <v>16665</v>
      </c>
      <c r="H39" s="306">
        <v>25021</v>
      </c>
      <c r="I39" s="306">
        <v>23883</v>
      </c>
      <c r="J39" s="306">
        <v>8764.6350000000239</v>
      </c>
      <c r="K39" s="306">
        <v>8741.4733588256495</v>
      </c>
      <c r="L39" s="306">
        <v>8321.5087809404504</v>
      </c>
      <c r="M39" s="306">
        <v>8458.9453193356821</v>
      </c>
    </row>
    <row r="40" spans="1:13" x14ac:dyDescent="0.2">
      <c r="A40" s="13"/>
      <c r="B40" s="13"/>
      <c r="C40" s="13" t="s">
        <v>486</v>
      </c>
      <c r="E40" s="250">
        <v>0.13458924270805459</v>
      </c>
      <c r="F40" s="250">
        <v>8.6211490765982737E-2</v>
      </c>
      <c r="G40" s="250">
        <v>0.17457573852922689</v>
      </c>
      <c r="H40" s="250">
        <v>0.25473667063722344</v>
      </c>
      <c r="I40" s="250">
        <v>0.22228944257778688</v>
      </c>
      <c r="J40" s="250">
        <v>8.0107779383402355E-2</v>
      </c>
      <c r="K40" s="250">
        <v>7.8018504806999484E-2</v>
      </c>
      <c r="L40" s="250">
        <v>7.7841088634989231E-2</v>
      </c>
      <c r="M40" s="250">
        <v>7.7806389391605307E-2</v>
      </c>
    </row>
    <row r="41" spans="1:13" x14ac:dyDescent="0.2">
      <c r="A41" s="13"/>
      <c r="B41" s="13"/>
      <c r="C41" s="13"/>
      <c r="E41" s="312"/>
      <c r="F41" s="312"/>
      <c r="G41" s="312"/>
      <c r="H41" s="312"/>
      <c r="I41" s="312"/>
      <c r="J41" s="312"/>
      <c r="K41" s="312"/>
      <c r="L41" s="312"/>
      <c r="M41" s="312"/>
    </row>
    <row r="42" spans="1:13" ht="15.75" x14ac:dyDescent="0.2">
      <c r="A42" s="10"/>
      <c r="B42" s="11" t="s">
        <v>24</v>
      </c>
      <c r="C42" s="10"/>
      <c r="E42" s="252">
        <v>93425</v>
      </c>
      <c r="F42" s="252">
        <v>97574</v>
      </c>
      <c r="G42" s="252">
        <v>95460</v>
      </c>
      <c r="H42" s="252">
        <v>98223</v>
      </c>
      <c r="I42" s="252">
        <v>107441</v>
      </c>
      <c r="J42" s="252">
        <v>109410.53500000003</v>
      </c>
      <c r="K42" s="252">
        <v>112043.58992075175</v>
      </c>
      <c r="L42" s="252">
        <v>106903.80783292346</v>
      </c>
      <c r="M42" s="252">
        <v>108717.87504187072</v>
      </c>
    </row>
    <row r="43" spans="1:13" x14ac:dyDescent="0.2">
      <c r="A43" s="10"/>
      <c r="B43" s="10"/>
      <c r="C43" s="13"/>
      <c r="E43" s="312"/>
      <c r="F43" s="312"/>
      <c r="G43" s="312"/>
      <c r="H43" s="312"/>
      <c r="I43" s="312"/>
      <c r="J43" s="312"/>
      <c r="K43" s="312"/>
      <c r="L43" s="312"/>
      <c r="M43" s="312"/>
    </row>
    <row r="44" spans="1:13" ht="19.5" x14ac:dyDescent="0.2">
      <c r="A44" s="15" t="s">
        <v>489</v>
      </c>
      <c r="B44" s="10"/>
      <c r="C44" s="10"/>
      <c r="E44" s="312"/>
      <c r="F44" s="312"/>
      <c r="G44" s="312"/>
      <c r="H44" s="312"/>
      <c r="I44" s="312"/>
      <c r="J44" s="312"/>
      <c r="K44" s="312"/>
      <c r="L44" s="312"/>
      <c r="M44" s="312"/>
    </row>
    <row r="45" spans="1:13" ht="15.75" x14ac:dyDescent="0.2">
      <c r="A45" s="10"/>
      <c r="B45" s="11" t="s">
        <v>25</v>
      </c>
      <c r="C45" s="10"/>
      <c r="E45" s="312"/>
      <c r="F45" s="312"/>
      <c r="G45" s="312"/>
      <c r="H45" s="312"/>
      <c r="I45" s="312"/>
      <c r="J45" s="312"/>
      <c r="K45" s="312"/>
      <c r="L45" s="312"/>
      <c r="M45" s="312"/>
    </row>
    <row r="46" spans="1:13" x14ac:dyDescent="0.2">
      <c r="A46" s="10"/>
      <c r="B46" s="10"/>
      <c r="C46" s="10" t="s">
        <v>26</v>
      </c>
      <c r="E46" s="313">
        <v>50677</v>
      </c>
      <c r="F46" s="313">
        <v>49924</v>
      </c>
      <c r="G46" s="313">
        <v>49768</v>
      </c>
      <c r="H46" s="313">
        <v>51933</v>
      </c>
      <c r="I46" s="313">
        <v>53165</v>
      </c>
      <c r="J46" s="313">
        <v>53300.795019079997</v>
      </c>
      <c r="K46" s="313">
        <v>53336.747664170834</v>
      </c>
      <c r="L46" s="313">
        <v>53786.261581591556</v>
      </c>
      <c r="M46" s="313">
        <v>54513.630396736378</v>
      </c>
    </row>
    <row r="47" spans="1:13" x14ac:dyDescent="0.2">
      <c r="A47" s="13"/>
      <c r="B47" s="13"/>
      <c r="C47" s="13" t="s">
        <v>490</v>
      </c>
      <c r="E47" s="250">
        <v>0.53801237883919184</v>
      </c>
      <c r="F47" s="250">
        <v>0.50925708689930937</v>
      </c>
      <c r="G47" s="250">
        <v>0.50718464015653342</v>
      </c>
      <c r="H47" s="250">
        <v>0.52412046101366494</v>
      </c>
      <c r="I47" s="250">
        <v>0.49656286776380926</v>
      </c>
      <c r="J47" s="250">
        <v>0.49799927461436433</v>
      </c>
      <c r="K47" s="250">
        <v>0.49694662165814057</v>
      </c>
      <c r="L47" s="250">
        <v>0.52158219280793994</v>
      </c>
      <c r="M47" s="250">
        <v>0.52179498552971482</v>
      </c>
    </row>
    <row r="48" spans="1:13" ht="15.75" x14ac:dyDescent="0.2">
      <c r="A48" s="13"/>
      <c r="B48" s="11" t="s">
        <v>28</v>
      </c>
      <c r="C48" s="13"/>
      <c r="E48" s="312"/>
      <c r="F48" s="312"/>
      <c r="G48" s="312"/>
      <c r="H48" s="312"/>
      <c r="I48" s="312"/>
      <c r="J48" s="312"/>
      <c r="K48" s="312"/>
      <c r="L48" s="312"/>
      <c r="M48" s="312"/>
    </row>
    <row r="49" spans="1:13" x14ac:dyDescent="0.2">
      <c r="A49" s="10"/>
      <c r="B49" s="10"/>
      <c r="C49" s="10" t="s">
        <v>29</v>
      </c>
      <c r="E49" s="313">
        <v>21097</v>
      </c>
      <c r="F49" s="313">
        <v>26352</v>
      </c>
      <c r="G49" s="313">
        <v>22946</v>
      </c>
      <c r="H49" s="313">
        <v>21044</v>
      </c>
      <c r="I49" s="313">
        <v>25772</v>
      </c>
      <c r="J49" s="313">
        <v>25286.216060000013</v>
      </c>
      <c r="K49" s="313">
        <v>24286.31089819999</v>
      </c>
      <c r="L49" s="313">
        <v>23398.841898199978</v>
      </c>
      <c r="M49" s="313">
        <v>23740.627253163981</v>
      </c>
    </row>
    <row r="50" spans="1:13" x14ac:dyDescent="0.2">
      <c r="A50" s="10"/>
      <c r="B50" s="10"/>
      <c r="C50" s="13" t="s">
        <v>490</v>
      </c>
      <c r="E50" s="250">
        <v>0.22397630397163271</v>
      </c>
      <c r="F50" s="250">
        <v>0.26880744239184762</v>
      </c>
      <c r="G50" s="250">
        <v>0.23384220288200885</v>
      </c>
      <c r="H50" s="250">
        <v>0.21238116383747452</v>
      </c>
      <c r="I50" s="250">
        <v>0.24071133693235947</v>
      </c>
      <c r="J50" s="250">
        <v>0.23625383544681414</v>
      </c>
      <c r="K50" s="250">
        <v>0.22627926677102519</v>
      </c>
      <c r="L50" s="250">
        <v>0.22690588465450126</v>
      </c>
      <c r="M50" s="250">
        <v>0.22724115352208649</v>
      </c>
    </row>
    <row r="51" spans="1:13" x14ac:dyDescent="0.2">
      <c r="A51" s="10"/>
      <c r="B51" s="10"/>
      <c r="C51" s="10" t="s">
        <v>30</v>
      </c>
      <c r="E51" s="313">
        <v>1108</v>
      </c>
      <c r="F51" s="313">
        <v>1070</v>
      </c>
      <c r="G51" s="313">
        <v>5681</v>
      </c>
      <c r="H51" s="313">
        <v>5787</v>
      </c>
      <c r="I51" s="313">
        <v>6638</v>
      </c>
      <c r="J51" s="313">
        <v>6949.3890000000001</v>
      </c>
      <c r="K51" s="313">
        <v>5475.9560000000001</v>
      </c>
      <c r="L51" s="313">
        <v>3693.2048</v>
      </c>
      <c r="M51" s="313">
        <v>3716.2048</v>
      </c>
    </row>
    <row r="52" spans="1:13" x14ac:dyDescent="0.2">
      <c r="A52" s="13"/>
      <c r="B52" s="13"/>
      <c r="C52" s="13" t="s">
        <v>490</v>
      </c>
      <c r="E52" s="250">
        <v>1.1763082182327774E-2</v>
      </c>
      <c r="F52" s="250">
        <v>1.0914691991472259E-2</v>
      </c>
      <c r="G52" s="250">
        <v>5.7894951389030433E-2</v>
      </c>
      <c r="H52" s="250">
        <v>5.8403810830995294E-2</v>
      </c>
      <c r="I52" s="250">
        <v>6.1999140716940952E-2</v>
      </c>
      <c r="J52" s="250">
        <v>6.4929438290257949E-2</v>
      </c>
      <c r="K52" s="250">
        <v>5.1020318143182176E-2</v>
      </c>
      <c r="L52" s="250">
        <v>3.5814161487142518E-2</v>
      </c>
      <c r="M52" s="250">
        <v>3.5570865776672733E-2</v>
      </c>
    </row>
    <row r="53" spans="1:13" x14ac:dyDescent="0.2">
      <c r="A53" s="10"/>
      <c r="B53" s="10"/>
      <c r="C53" s="10" t="s">
        <v>31</v>
      </c>
      <c r="E53" s="313">
        <v>8239</v>
      </c>
      <c r="F53" s="313">
        <v>5854</v>
      </c>
      <c r="G53" s="313">
        <v>5413</v>
      </c>
      <c r="H53" s="313">
        <v>6315</v>
      </c>
      <c r="I53" s="313">
        <v>5854</v>
      </c>
      <c r="J53" s="313">
        <v>7532.4484000000002</v>
      </c>
      <c r="K53" s="313">
        <v>8965.9939080000004</v>
      </c>
      <c r="L53" s="313">
        <v>8717.9939080000004</v>
      </c>
      <c r="M53" s="313">
        <v>8795.9326341600008</v>
      </c>
    </row>
    <row r="54" spans="1:13" x14ac:dyDescent="0.2">
      <c r="A54" s="13"/>
      <c r="B54" s="13"/>
      <c r="C54" s="13" t="s">
        <v>490</v>
      </c>
      <c r="E54" s="250">
        <v>8.7469344855774844E-2</v>
      </c>
      <c r="F54" s="250">
        <v>5.9714585904746362E-2</v>
      </c>
      <c r="G54" s="250">
        <v>5.5163769031653181E-2</v>
      </c>
      <c r="H54" s="250">
        <v>6.3732515188825875E-2</v>
      </c>
      <c r="I54" s="250">
        <v>5.4676554648534548E-2</v>
      </c>
      <c r="J54" s="250">
        <v>7.0377071072342076E-2</v>
      </c>
      <c r="K54" s="250">
        <v>8.3537534205167699E-2</v>
      </c>
      <c r="L54" s="250">
        <v>8.4541112278700786E-2</v>
      </c>
      <c r="M54" s="250">
        <v>8.4193136801922447E-2</v>
      </c>
    </row>
    <row r="55" spans="1:13" x14ac:dyDescent="0.2">
      <c r="A55" s="13"/>
      <c r="B55" s="13"/>
      <c r="C55" s="10" t="s">
        <v>32</v>
      </c>
      <c r="E55" s="313">
        <v>247</v>
      </c>
      <c r="F55" s="313">
        <v>212</v>
      </c>
      <c r="G55" s="313">
        <v>140</v>
      </c>
      <c r="H55" s="313">
        <v>219</v>
      </c>
      <c r="I55" s="313">
        <v>163</v>
      </c>
      <c r="J55" s="313">
        <v>793.11</v>
      </c>
      <c r="K55" s="313">
        <v>681.21220000000005</v>
      </c>
      <c r="L55" s="313">
        <v>681.21220000000005</v>
      </c>
      <c r="M55" s="313">
        <v>694.57644400000004</v>
      </c>
    </row>
    <row r="56" spans="1:13" x14ac:dyDescent="0.2">
      <c r="A56" s="13"/>
      <c r="B56" s="13"/>
      <c r="C56" s="13" t="s">
        <v>490</v>
      </c>
      <c r="E56" s="250">
        <v>2.622275540645271E-3</v>
      </c>
      <c r="F56" s="250">
        <v>2.1625371048524474E-3</v>
      </c>
      <c r="G56" s="250">
        <v>1.4267370523612499E-3</v>
      </c>
      <c r="H56" s="250">
        <v>2.210201239327453E-3</v>
      </c>
      <c r="I56" s="250">
        <v>1.5224254198344946E-3</v>
      </c>
      <c r="J56" s="250">
        <v>7.4101747365684202E-3</v>
      </c>
      <c r="K56" s="250">
        <v>6.3469580776428901E-3</v>
      </c>
      <c r="L56" s="250">
        <v>6.6059276587671573E-3</v>
      </c>
      <c r="M56" s="250">
        <v>6.6483648751442994E-3</v>
      </c>
    </row>
    <row r="57" spans="1:13" x14ac:dyDescent="0.2">
      <c r="A57" s="13"/>
      <c r="B57" s="13"/>
      <c r="C57" s="10" t="s">
        <v>491</v>
      </c>
      <c r="E57" s="313">
        <v>185</v>
      </c>
      <c r="F57" s="313">
        <v>295</v>
      </c>
      <c r="G57" s="313">
        <v>331</v>
      </c>
      <c r="H57" s="313">
        <v>1355</v>
      </c>
      <c r="I57" s="313">
        <v>1236</v>
      </c>
      <c r="J57" s="313">
        <v>413.96245398539276</v>
      </c>
      <c r="K57" s="313">
        <v>579.0575</v>
      </c>
      <c r="L57" s="313">
        <v>120.19542589890656</v>
      </c>
      <c r="M57" s="313">
        <v>-146.62666666666667</v>
      </c>
    </row>
    <row r="58" spans="1:13" x14ac:dyDescent="0.2">
      <c r="A58" s="13"/>
      <c r="B58" s="13"/>
      <c r="C58" s="13" t="s">
        <v>490</v>
      </c>
      <c r="E58" s="250">
        <v>1.9640525304428142E-3</v>
      </c>
      <c r="F58" s="250">
        <v>3.0091907826956229E-3</v>
      </c>
      <c r="G58" s="250">
        <v>3.3732140309398122E-3</v>
      </c>
      <c r="H58" s="250">
        <v>1.3674989403144744E-2</v>
      </c>
      <c r="I58" s="250">
        <v>1.1544281097640708E-2</v>
      </c>
      <c r="J58" s="250">
        <v>3.8677284593693494E-3</v>
      </c>
      <c r="K58" s="250">
        <v>5.3951671403487745E-3</v>
      </c>
      <c r="L58" s="250">
        <v>1.1655726195198576E-3</v>
      </c>
      <c r="M58" s="250">
        <v>-1.4034849422940668E-3</v>
      </c>
    </row>
    <row r="59" spans="1:13" x14ac:dyDescent="0.2">
      <c r="A59" s="10"/>
      <c r="B59" s="10"/>
      <c r="C59" s="10" t="s">
        <v>33</v>
      </c>
      <c r="E59" s="313">
        <v>4283</v>
      </c>
      <c r="F59" s="313">
        <v>6127</v>
      </c>
      <c r="G59" s="313">
        <v>4409</v>
      </c>
      <c r="H59" s="313">
        <v>2893</v>
      </c>
      <c r="I59" s="313">
        <v>4641</v>
      </c>
      <c r="J59" s="313">
        <v>2936.3288400399997</v>
      </c>
      <c r="K59" s="313">
        <v>4121.5648000000001</v>
      </c>
      <c r="L59" s="313">
        <v>3462.5201900000002</v>
      </c>
      <c r="M59" s="313">
        <v>3766.8056498999999</v>
      </c>
    </row>
    <row r="60" spans="1:13" x14ac:dyDescent="0.2">
      <c r="A60" s="13"/>
      <c r="B60" s="13"/>
      <c r="C60" s="13" t="s">
        <v>490</v>
      </c>
      <c r="E60" s="253">
        <v>4.5470470204792286E-2</v>
      </c>
      <c r="F60" s="253">
        <v>6.2499362459579939E-2</v>
      </c>
      <c r="G60" s="253">
        <v>4.4932026170433931E-2</v>
      </c>
      <c r="H60" s="253">
        <v>2.9196859293946671E-2</v>
      </c>
      <c r="I60" s="253">
        <v>4.3347094315655761E-2</v>
      </c>
      <c r="J60" s="253">
        <v>2.7434668316780344E-2</v>
      </c>
      <c r="K60" s="253">
        <v>3.8401248538837973E-2</v>
      </c>
      <c r="L60" s="253">
        <v>3.3577140709107549E-2</v>
      </c>
      <c r="M60" s="253">
        <v>3.6055208308058105E-2</v>
      </c>
    </row>
    <row r="61" spans="1:13" x14ac:dyDescent="0.2">
      <c r="A61" s="10"/>
      <c r="B61" s="10"/>
      <c r="C61" s="12" t="s">
        <v>492</v>
      </c>
      <c r="E61" s="251">
        <v>35159</v>
      </c>
      <c r="F61" s="251">
        <v>39910</v>
      </c>
      <c r="G61" s="251">
        <v>38920</v>
      </c>
      <c r="H61" s="251">
        <v>37613</v>
      </c>
      <c r="I61" s="251">
        <v>44304</v>
      </c>
      <c r="J61" s="251">
        <v>43911.454754025406</v>
      </c>
      <c r="K61" s="251">
        <v>44110.09530619999</v>
      </c>
      <c r="L61" s="251">
        <v>40073.968422098886</v>
      </c>
      <c r="M61" s="251">
        <v>40567.520114557316</v>
      </c>
    </row>
    <row r="62" spans="1:13" x14ac:dyDescent="0.2">
      <c r="A62" s="10"/>
      <c r="B62" s="10"/>
      <c r="C62" s="13" t="s">
        <v>27</v>
      </c>
      <c r="E62" s="250">
        <v>0.37326552928561568</v>
      </c>
      <c r="F62" s="250">
        <v>0.40710781063519424</v>
      </c>
      <c r="G62" s="250">
        <v>0.39663290055642747</v>
      </c>
      <c r="H62" s="250">
        <v>0.37959953979371452</v>
      </c>
      <c r="I62" s="250">
        <v>0.41380083313096594</v>
      </c>
      <c r="J62" s="250">
        <v>0.41027291632213225</v>
      </c>
      <c r="K62" s="250">
        <v>0.41098049287620469</v>
      </c>
      <c r="L62" s="250">
        <v>0.3886097994077391</v>
      </c>
      <c r="M62" s="250">
        <v>0.38830524434158997</v>
      </c>
    </row>
    <row r="63" spans="1:13" ht="15.75" x14ac:dyDescent="0.2">
      <c r="A63" s="10"/>
      <c r="B63" s="11" t="s">
        <v>34</v>
      </c>
      <c r="C63" s="10"/>
      <c r="E63" s="312"/>
      <c r="F63" s="312"/>
      <c r="G63" s="312"/>
      <c r="H63" s="312"/>
      <c r="I63" s="312"/>
      <c r="J63" s="312"/>
      <c r="K63" s="312"/>
      <c r="L63" s="312"/>
      <c r="M63" s="312"/>
    </row>
    <row r="64" spans="1:13" x14ac:dyDescent="0.2">
      <c r="A64" s="10"/>
      <c r="B64" s="10"/>
      <c r="C64" s="10" t="s">
        <v>35</v>
      </c>
      <c r="E64" s="313">
        <v>8357</v>
      </c>
      <c r="F64" s="313">
        <v>8199</v>
      </c>
      <c r="G64" s="313">
        <v>9438</v>
      </c>
      <c r="H64" s="313">
        <v>8675</v>
      </c>
      <c r="I64" s="313">
        <v>8692</v>
      </c>
      <c r="J64" s="313">
        <v>9817.6149999999998</v>
      </c>
      <c r="K64" s="313">
        <v>9882.084000104167</v>
      </c>
      <c r="L64" s="313">
        <v>9261.1233002499994</v>
      </c>
      <c r="M64" s="313">
        <v>9392.1233002500012</v>
      </c>
    </row>
    <row r="65" spans="1:13" x14ac:dyDescent="0.2">
      <c r="A65" s="10"/>
      <c r="B65" s="10"/>
      <c r="C65" s="13" t="s">
        <v>490</v>
      </c>
      <c r="E65" s="250">
        <v>8.8722091875192421E-2</v>
      </c>
      <c r="F65" s="250">
        <v>8.3635102465496311E-2</v>
      </c>
      <c r="G65" s="250">
        <v>9.6182459287039113E-2</v>
      </c>
      <c r="H65" s="250">
        <v>8.7550208909432214E-2</v>
      </c>
      <c r="I65" s="250">
        <v>8.1183569013505694E-2</v>
      </c>
      <c r="J65" s="250">
        <v>9.172780906350339E-2</v>
      </c>
      <c r="K65" s="250">
        <v>9.2072885465654758E-2</v>
      </c>
      <c r="L65" s="250">
        <v>8.9808007784321006E-2</v>
      </c>
      <c r="M65" s="250">
        <v>8.98997701286951E-2</v>
      </c>
    </row>
    <row r="66" spans="1:13" x14ac:dyDescent="0.2">
      <c r="A66" s="10"/>
      <c r="B66" s="10"/>
      <c r="C66" s="10" t="s">
        <v>36</v>
      </c>
      <c r="E66" s="313">
        <v>0</v>
      </c>
      <c r="F66" s="313">
        <v>0</v>
      </c>
      <c r="G66" s="313">
        <v>0</v>
      </c>
      <c r="H66" s="313">
        <v>865</v>
      </c>
      <c r="I66" s="313">
        <v>905</v>
      </c>
      <c r="J66" s="313">
        <v>0</v>
      </c>
      <c r="K66" s="313">
        <v>0</v>
      </c>
      <c r="L66" s="313">
        <v>0</v>
      </c>
      <c r="M66" s="313">
        <v>0</v>
      </c>
    </row>
    <row r="67" spans="1:13" x14ac:dyDescent="0.2">
      <c r="A67" s="10"/>
      <c r="B67" s="10"/>
      <c r="C67" s="13" t="s">
        <v>490</v>
      </c>
      <c r="E67" s="253">
        <v>0</v>
      </c>
      <c r="F67" s="253">
        <v>0</v>
      </c>
      <c r="G67" s="253">
        <v>0</v>
      </c>
      <c r="H67" s="253">
        <v>8.729790283188342E-3</v>
      </c>
      <c r="I67" s="253">
        <v>8.4527300917191257E-3</v>
      </c>
      <c r="J67" s="253">
        <v>0</v>
      </c>
      <c r="K67" s="253">
        <v>0</v>
      </c>
      <c r="L67" s="253">
        <v>0</v>
      </c>
      <c r="M67" s="253">
        <v>0</v>
      </c>
    </row>
    <row r="68" spans="1:13" x14ac:dyDescent="0.2">
      <c r="A68" s="10"/>
      <c r="B68" s="10"/>
      <c r="C68" s="12" t="s">
        <v>37</v>
      </c>
      <c r="E68" s="251">
        <v>8357</v>
      </c>
      <c r="F68" s="251">
        <v>8199</v>
      </c>
      <c r="G68" s="251">
        <v>9438</v>
      </c>
      <c r="H68" s="251">
        <v>9540</v>
      </c>
      <c r="I68" s="251">
        <v>9597</v>
      </c>
      <c r="J68" s="251">
        <v>9817.6149999999998</v>
      </c>
      <c r="K68" s="251">
        <v>9882.084000104167</v>
      </c>
      <c r="L68" s="251">
        <v>9261.1233002499994</v>
      </c>
      <c r="M68" s="251">
        <v>9392.1233002500012</v>
      </c>
    </row>
    <row r="69" spans="1:13" x14ac:dyDescent="0.2">
      <c r="A69" s="10"/>
      <c r="B69" s="10"/>
      <c r="C69" s="13" t="s">
        <v>490</v>
      </c>
      <c r="E69" s="250">
        <v>8.8722091875192421E-2</v>
      </c>
      <c r="F69" s="250">
        <v>8.3635102465496311E-2</v>
      </c>
      <c r="G69" s="250">
        <v>9.6182459287039113E-2</v>
      </c>
      <c r="H69" s="250">
        <v>9.627999919262055E-2</v>
      </c>
      <c r="I69" s="250">
        <v>8.9636299105224818E-2</v>
      </c>
      <c r="J69" s="250">
        <v>9.172780906350339E-2</v>
      </c>
      <c r="K69" s="250">
        <v>9.2072885465654758E-2</v>
      </c>
      <c r="L69" s="250">
        <v>8.9808007784321006E-2</v>
      </c>
      <c r="M69" s="250">
        <v>8.98997701286951E-2</v>
      </c>
    </row>
    <row r="70" spans="1:13" x14ac:dyDescent="0.2">
      <c r="A70" s="10"/>
      <c r="B70" s="10"/>
      <c r="C70" s="10"/>
      <c r="E70" s="312"/>
      <c r="F70" s="312"/>
      <c r="G70" s="312"/>
      <c r="H70" s="312"/>
      <c r="I70" s="312"/>
      <c r="J70" s="312"/>
      <c r="K70" s="312"/>
      <c r="L70" s="312"/>
      <c r="M70" s="312"/>
    </row>
    <row r="71" spans="1:13" ht="15.75" x14ac:dyDescent="0.2">
      <c r="A71" s="10"/>
      <c r="B71" s="11" t="s">
        <v>493</v>
      </c>
      <c r="C71" s="10"/>
      <c r="E71" s="252">
        <v>94193</v>
      </c>
      <c r="F71" s="252">
        <v>98033</v>
      </c>
      <c r="G71" s="252">
        <v>98126</v>
      </c>
      <c r="H71" s="252">
        <v>99086</v>
      </c>
      <c r="I71" s="252">
        <v>107066</v>
      </c>
      <c r="J71" s="252">
        <v>107029.86477310541</v>
      </c>
      <c r="K71" s="252">
        <v>107328.92697047499</v>
      </c>
      <c r="L71" s="252">
        <v>103121.35330394043</v>
      </c>
      <c r="M71" s="252">
        <v>104473.27381154371</v>
      </c>
    </row>
    <row r="72" spans="1:13" ht="15.75" x14ac:dyDescent="0.2">
      <c r="A72" s="16"/>
      <c r="B72" s="16"/>
      <c r="C72" s="17"/>
      <c r="E72" s="307"/>
      <c r="F72" s="307"/>
      <c r="G72" s="307"/>
      <c r="H72" s="307"/>
      <c r="I72" s="307"/>
      <c r="J72" s="307"/>
      <c r="K72" s="307"/>
      <c r="L72" s="307"/>
      <c r="M72" s="307"/>
    </row>
    <row r="73" spans="1:13" ht="19.5" x14ac:dyDescent="0.2">
      <c r="A73" s="15" t="s">
        <v>38</v>
      </c>
      <c r="B73" s="10"/>
      <c r="C73" s="13"/>
      <c r="E73" s="252">
        <v>-768</v>
      </c>
      <c r="F73" s="252">
        <v>-459</v>
      </c>
      <c r="G73" s="252">
        <v>-2666</v>
      </c>
      <c r="H73" s="252">
        <v>-863</v>
      </c>
      <c r="I73" s="252">
        <v>375</v>
      </c>
      <c r="J73" s="252">
        <v>2380.6702268946246</v>
      </c>
      <c r="K73" s="252">
        <v>4714.662950276761</v>
      </c>
      <c r="L73" s="252">
        <v>3782.4545289830276</v>
      </c>
      <c r="M73" s="252">
        <v>4244.6012303270109</v>
      </c>
    </row>
    <row r="74" spans="1:13" x14ac:dyDescent="0.2">
      <c r="A74" s="10"/>
      <c r="B74" s="10"/>
      <c r="C74" s="13"/>
      <c r="E74" s="312"/>
      <c r="F74" s="312"/>
      <c r="G74" s="312"/>
      <c r="H74" s="312"/>
      <c r="I74" s="312"/>
      <c r="J74" s="312"/>
      <c r="K74" s="312"/>
      <c r="L74" s="312"/>
      <c r="M74" s="312"/>
    </row>
    <row r="75" spans="1:13" ht="15.75" x14ac:dyDescent="0.2">
      <c r="A75" s="10"/>
      <c r="B75" s="11" t="s">
        <v>39</v>
      </c>
      <c r="C75" s="13"/>
      <c r="E75" s="313">
        <v>-681</v>
      </c>
      <c r="F75" s="313">
        <v>-13293</v>
      </c>
      <c r="G75" s="313">
        <v>872</v>
      </c>
      <c r="H75" s="313">
        <v>1187</v>
      </c>
      <c r="I75" s="313">
        <v>471</v>
      </c>
      <c r="J75" s="313">
        <v>-2400</v>
      </c>
      <c r="K75" s="313">
        <v>-2250</v>
      </c>
      <c r="L75" s="313">
        <v>0</v>
      </c>
      <c r="M75" s="313">
        <v>0</v>
      </c>
    </row>
    <row r="76" spans="1:13" x14ac:dyDescent="0.2">
      <c r="A76" s="10"/>
      <c r="B76" s="10"/>
      <c r="C76" s="10"/>
      <c r="E76" s="312"/>
      <c r="F76" s="312"/>
      <c r="G76" s="312"/>
      <c r="H76" s="312"/>
      <c r="I76" s="312"/>
      <c r="J76" s="312"/>
      <c r="K76" s="312"/>
      <c r="L76" s="312"/>
      <c r="M76" s="312"/>
    </row>
    <row r="77" spans="1:13" ht="20.25" thickBot="1" x14ac:dyDescent="0.25">
      <c r="A77" s="15" t="s">
        <v>494</v>
      </c>
      <c r="B77" s="10"/>
      <c r="C77" s="10"/>
      <c r="E77" s="254">
        <v>-87</v>
      </c>
      <c r="F77" s="254">
        <v>12834</v>
      </c>
      <c r="G77" s="254">
        <v>-3538</v>
      </c>
      <c r="H77" s="254">
        <v>-2050</v>
      </c>
      <c r="I77" s="254">
        <v>-96</v>
      </c>
      <c r="J77" s="254">
        <v>4780.6702268946246</v>
      </c>
      <c r="K77" s="254">
        <v>6964.662950276761</v>
      </c>
      <c r="L77" s="254">
        <v>3782.4545289830276</v>
      </c>
      <c r="M77" s="254">
        <v>4244.6012303270109</v>
      </c>
    </row>
    <row r="78" spans="1:13" ht="15.75" thickTop="1" x14ac:dyDescent="0.2">
      <c r="A78" s="10"/>
      <c r="B78" s="10"/>
      <c r="C78" s="10" t="s">
        <v>495</v>
      </c>
      <c r="E78" s="312"/>
      <c r="F78" s="312"/>
      <c r="G78" s="312"/>
      <c r="H78" s="312"/>
      <c r="I78" s="312"/>
      <c r="J78" s="312"/>
      <c r="K78" s="312"/>
      <c r="L78" s="312"/>
      <c r="M78" s="312"/>
    </row>
    <row r="79" spans="1:13" x14ac:dyDescent="0.2">
      <c r="A79" s="10"/>
      <c r="B79" s="10"/>
      <c r="C79" s="10" t="s">
        <v>496</v>
      </c>
      <c r="E79" s="312"/>
      <c r="F79" s="312"/>
      <c r="G79" s="312"/>
      <c r="H79" s="312"/>
      <c r="I79" s="312"/>
      <c r="J79" s="312"/>
      <c r="K79" s="312"/>
      <c r="L79" s="312"/>
      <c r="M79" s="312"/>
    </row>
    <row r="80" spans="1:13" x14ac:dyDescent="0.2">
      <c r="A80" s="10" t="s">
        <v>497</v>
      </c>
      <c r="B80" s="10"/>
      <c r="C80" s="10"/>
      <c r="E80" s="312"/>
      <c r="F80" s="312"/>
      <c r="G80" s="312"/>
      <c r="H80" s="312"/>
      <c r="I80" s="312"/>
      <c r="J80" s="312"/>
      <c r="K80" s="312"/>
      <c r="L80" s="312"/>
      <c r="M80" s="312"/>
    </row>
    <row r="81" spans="1:13" x14ac:dyDescent="0.2">
      <c r="A81" s="10" t="s">
        <v>40</v>
      </c>
      <c r="B81" s="10"/>
      <c r="C81" s="10"/>
      <c r="E81" s="312"/>
      <c r="F81" s="312"/>
      <c r="G81" s="312"/>
      <c r="H81" s="312"/>
      <c r="I81" s="312"/>
      <c r="J81" s="312"/>
      <c r="K81" s="312"/>
      <c r="L81" s="312"/>
      <c r="M81" s="312"/>
    </row>
    <row r="82" spans="1:13" x14ac:dyDescent="0.2">
      <c r="A82" s="10"/>
      <c r="B82" s="10"/>
      <c r="C82" s="10" t="s">
        <v>498</v>
      </c>
      <c r="E82" s="312"/>
      <c r="F82" s="312"/>
      <c r="G82" s="312"/>
      <c r="H82" s="312"/>
      <c r="I82" s="312"/>
      <c r="J82" s="312"/>
      <c r="K82" s="312"/>
      <c r="L82" s="312"/>
      <c r="M82" s="312"/>
    </row>
    <row r="83" spans="1:13" x14ac:dyDescent="0.2">
      <c r="A83" s="10"/>
      <c r="B83" s="10"/>
      <c r="C83" s="10" t="s">
        <v>41</v>
      </c>
      <c r="E83" s="312"/>
      <c r="F83" s="312"/>
      <c r="G83" s="312"/>
      <c r="H83" s="312"/>
      <c r="I83" s="312"/>
      <c r="J83" s="312"/>
      <c r="K83" s="312"/>
      <c r="L83" s="312"/>
      <c r="M83" s="312"/>
    </row>
    <row r="84" spans="1:13" x14ac:dyDescent="0.2">
      <c r="A84" s="10"/>
      <c r="B84" s="10"/>
      <c r="C84" s="10" t="s">
        <v>42</v>
      </c>
      <c r="E84" s="312"/>
      <c r="F84" s="312"/>
      <c r="G84" s="312"/>
      <c r="H84" s="312"/>
      <c r="I84" s="312"/>
      <c r="J84" s="312"/>
      <c r="K84" s="312"/>
      <c r="L84" s="312"/>
      <c r="M84" s="312"/>
    </row>
    <row r="85" spans="1:13" x14ac:dyDescent="0.2">
      <c r="A85" s="10"/>
      <c r="B85" s="10"/>
      <c r="C85" s="10"/>
      <c r="E85" s="312"/>
      <c r="F85" s="312"/>
      <c r="G85" s="312"/>
      <c r="H85" s="312"/>
      <c r="I85" s="312"/>
      <c r="J85" s="312"/>
      <c r="K85" s="312"/>
      <c r="L85" s="312"/>
      <c r="M85" s="312"/>
    </row>
    <row r="86" spans="1:13" x14ac:dyDescent="0.2">
      <c r="A86" s="10"/>
      <c r="B86" s="10"/>
      <c r="C86" s="10"/>
      <c r="E86" s="312"/>
      <c r="F86" s="312"/>
      <c r="G86" s="312"/>
      <c r="H86" s="312"/>
      <c r="I86" s="312"/>
      <c r="J86" s="312"/>
      <c r="K86" s="312"/>
      <c r="L86" s="312"/>
      <c r="M86" s="312"/>
    </row>
    <row r="87" spans="1:13" ht="20.25" x14ac:dyDescent="0.2">
      <c r="A87" s="18" t="s">
        <v>43</v>
      </c>
      <c r="B87" s="19"/>
      <c r="C87" s="19"/>
      <c r="E87" s="312"/>
      <c r="F87" s="312"/>
      <c r="G87" s="312"/>
      <c r="H87" s="312"/>
      <c r="I87" s="312"/>
      <c r="J87" s="312"/>
      <c r="K87" s="312"/>
      <c r="L87" s="312"/>
      <c r="M87" s="312"/>
    </row>
    <row r="88" spans="1:13" x14ac:dyDescent="0.2">
      <c r="A88" s="10"/>
      <c r="B88" s="10"/>
      <c r="C88" s="10"/>
      <c r="E88" s="312"/>
      <c r="F88" s="312"/>
      <c r="G88" s="312"/>
      <c r="H88" s="312"/>
      <c r="I88" s="312"/>
      <c r="J88" s="312"/>
      <c r="K88" s="312"/>
      <c r="L88" s="312"/>
      <c r="M88" s="312"/>
    </row>
    <row r="89" spans="1:13" ht="80.099999999999994" customHeight="1" x14ac:dyDescent="0.2">
      <c r="A89" s="11" t="s">
        <v>1</v>
      </c>
      <c r="B89" s="10"/>
      <c r="C89" s="10"/>
      <c r="E89" s="312"/>
      <c r="F89" s="312"/>
      <c r="G89" s="312"/>
      <c r="H89" s="312"/>
      <c r="I89" s="312"/>
      <c r="J89" s="312"/>
      <c r="K89" s="312"/>
      <c r="L89" s="312"/>
      <c r="M89" s="312"/>
    </row>
    <row r="90" spans="1:13" x14ac:dyDescent="0.2">
      <c r="A90" s="10"/>
      <c r="B90" s="10"/>
      <c r="C90" s="10"/>
      <c r="E90" s="312"/>
      <c r="F90" s="312"/>
      <c r="G90" s="312"/>
      <c r="H90" s="312"/>
      <c r="I90" s="312"/>
      <c r="J90" s="312"/>
      <c r="K90" s="312"/>
      <c r="L90" s="312"/>
      <c r="M90" s="312"/>
    </row>
    <row r="91" spans="1:13" x14ac:dyDescent="0.2">
      <c r="A91" s="10"/>
      <c r="B91" s="10"/>
      <c r="C91" s="10"/>
      <c r="E91" s="312"/>
      <c r="F91" s="312"/>
      <c r="G91" s="312"/>
      <c r="H91" s="312"/>
      <c r="I91" s="312"/>
      <c r="J91" s="312"/>
      <c r="K91" s="312"/>
      <c r="L91" s="312"/>
      <c r="M91" s="312"/>
    </row>
    <row r="92" spans="1:13" x14ac:dyDescent="0.2">
      <c r="A92" s="10"/>
      <c r="B92" s="10"/>
      <c r="C92" s="10"/>
      <c r="E92" s="312"/>
      <c r="F92" s="312"/>
      <c r="G92" s="312"/>
      <c r="H92" s="312"/>
      <c r="I92" s="312"/>
      <c r="J92" s="312"/>
      <c r="K92" s="312"/>
      <c r="L92" s="312"/>
      <c r="M92" s="312"/>
    </row>
    <row r="93" spans="1:13" x14ac:dyDescent="0.2">
      <c r="A93" s="10"/>
      <c r="B93" s="10"/>
      <c r="C93" s="10"/>
      <c r="E93" s="312"/>
      <c r="F93" s="312"/>
      <c r="G93" s="312"/>
      <c r="H93" s="312"/>
      <c r="I93" s="312"/>
      <c r="J93" s="312"/>
      <c r="K93" s="312"/>
      <c r="L93" s="312"/>
      <c r="M93" s="312"/>
    </row>
    <row r="94" spans="1:13" x14ac:dyDescent="0.2">
      <c r="A94" s="10"/>
      <c r="B94" s="10"/>
      <c r="C94" s="10"/>
      <c r="E94" s="312"/>
      <c r="F94" s="312"/>
      <c r="G94" s="312"/>
      <c r="H94" s="312"/>
      <c r="I94" s="312"/>
      <c r="J94" s="312"/>
      <c r="K94" s="312"/>
      <c r="L94" s="312"/>
      <c r="M94" s="312"/>
    </row>
    <row r="95" spans="1:13" ht="15.75" x14ac:dyDescent="0.2">
      <c r="A95" s="20" t="s">
        <v>44</v>
      </c>
      <c r="B95" s="10"/>
      <c r="C95" s="10"/>
      <c r="E95" s="312"/>
      <c r="F95" s="312"/>
      <c r="G95" s="312"/>
      <c r="H95" s="312"/>
      <c r="I95" s="312"/>
      <c r="J95" s="312"/>
      <c r="K95" s="312"/>
      <c r="L95" s="312"/>
      <c r="M95" s="312"/>
    </row>
    <row r="96" spans="1:13" ht="15.75" x14ac:dyDescent="0.2">
      <c r="A96" s="20"/>
      <c r="B96" s="10" t="s">
        <v>499</v>
      </c>
      <c r="C96" s="10"/>
      <c r="E96" s="313">
        <v>488</v>
      </c>
      <c r="F96" s="313">
        <v>3812</v>
      </c>
      <c r="G96" s="313">
        <v>1637</v>
      </c>
      <c r="H96" s="313">
        <v>5185</v>
      </c>
      <c r="I96" s="313">
        <v>3008</v>
      </c>
      <c r="J96" s="313">
        <v>4882.0375460145924</v>
      </c>
      <c r="K96" s="313">
        <v>1536.037546014592</v>
      </c>
      <c r="L96" s="313">
        <v>2268.4303256285411</v>
      </c>
      <c r="M96" s="313">
        <v>8511.154856205565</v>
      </c>
    </row>
    <row r="97" spans="1:13" x14ac:dyDescent="0.2">
      <c r="A97" s="10"/>
      <c r="B97" s="10" t="s">
        <v>46</v>
      </c>
      <c r="C97" s="10"/>
      <c r="E97" s="313">
        <v>20289</v>
      </c>
      <c r="F97" s="313">
        <v>15291</v>
      </c>
      <c r="G97" s="313">
        <v>12450</v>
      </c>
      <c r="H97" s="313">
        <v>9171</v>
      </c>
      <c r="I97" s="313">
        <v>9682</v>
      </c>
      <c r="J97" s="313">
        <v>10651</v>
      </c>
      <c r="K97" s="313">
        <v>11772</v>
      </c>
      <c r="L97" s="313">
        <v>12130</v>
      </c>
      <c r="M97" s="313">
        <v>12429</v>
      </c>
    </row>
    <row r="98" spans="1:13" x14ac:dyDescent="0.2">
      <c r="A98" s="10"/>
      <c r="B98" s="10" t="s">
        <v>500</v>
      </c>
      <c r="C98" s="10"/>
      <c r="E98" s="313">
        <v>0</v>
      </c>
      <c r="F98" s="313">
        <v>0</v>
      </c>
      <c r="G98" s="313">
        <v>0</v>
      </c>
      <c r="H98" s="313">
        <v>0</v>
      </c>
      <c r="I98" s="313">
        <v>0</v>
      </c>
      <c r="J98" s="313">
        <v>0</v>
      </c>
      <c r="K98" s="313">
        <v>0</v>
      </c>
      <c r="L98" s="313">
        <v>0</v>
      </c>
      <c r="M98" s="313">
        <v>0</v>
      </c>
    </row>
    <row r="99" spans="1:13" x14ac:dyDescent="0.2">
      <c r="A99" s="10"/>
      <c r="B99" s="10" t="s">
        <v>47</v>
      </c>
      <c r="C99" s="10"/>
      <c r="E99" s="313">
        <v>2548</v>
      </c>
      <c r="F99" s="313">
        <v>4664</v>
      </c>
      <c r="G99" s="313">
        <v>10193</v>
      </c>
      <c r="H99" s="313">
        <v>5968</v>
      </c>
      <c r="I99" s="313">
        <v>6559</v>
      </c>
      <c r="J99" s="313">
        <v>2422</v>
      </c>
      <c r="K99" s="313">
        <v>2171</v>
      </c>
      <c r="L99" s="313">
        <v>2096</v>
      </c>
      <c r="M99" s="313">
        <v>2097</v>
      </c>
    </row>
    <row r="100" spans="1:13" x14ac:dyDescent="0.2">
      <c r="A100" s="10"/>
      <c r="B100" s="10" t="s">
        <v>48</v>
      </c>
      <c r="C100" s="10"/>
      <c r="E100" s="313">
        <v>957</v>
      </c>
      <c r="F100" s="313">
        <v>600</v>
      </c>
      <c r="G100" s="313">
        <v>1010</v>
      </c>
      <c r="H100" s="313">
        <v>902</v>
      </c>
      <c r="I100" s="313">
        <v>837</v>
      </c>
      <c r="J100" s="313">
        <v>449</v>
      </c>
      <c r="K100" s="313">
        <v>449</v>
      </c>
      <c r="L100" s="313">
        <v>449</v>
      </c>
      <c r="M100" s="313">
        <v>449</v>
      </c>
    </row>
    <row r="101" spans="1:13" x14ac:dyDescent="0.2">
      <c r="A101" s="10"/>
      <c r="B101" s="10" t="s">
        <v>49</v>
      </c>
      <c r="C101" s="10"/>
      <c r="E101" s="313">
        <v>64</v>
      </c>
      <c r="F101" s="313">
        <v>74</v>
      </c>
      <c r="G101" s="313">
        <v>147</v>
      </c>
      <c r="H101" s="313">
        <v>162</v>
      </c>
      <c r="I101" s="313">
        <v>307</v>
      </c>
      <c r="J101" s="313">
        <v>299</v>
      </c>
      <c r="K101" s="313">
        <v>299</v>
      </c>
      <c r="L101" s="313">
        <v>299</v>
      </c>
      <c r="M101" s="313">
        <v>299</v>
      </c>
    </row>
    <row r="102" spans="1:13" x14ac:dyDescent="0.2">
      <c r="A102" s="10"/>
      <c r="B102" s="10" t="s">
        <v>33</v>
      </c>
      <c r="C102" s="10"/>
      <c r="E102" s="313">
        <v>97</v>
      </c>
      <c r="F102" s="313">
        <v>0</v>
      </c>
      <c r="G102" s="313">
        <v>0</v>
      </c>
      <c r="H102" s="313">
        <v>0</v>
      </c>
      <c r="I102" s="313">
        <v>64</v>
      </c>
      <c r="J102" s="313">
        <v>64</v>
      </c>
      <c r="K102" s="313">
        <v>64</v>
      </c>
      <c r="L102" s="313">
        <v>64</v>
      </c>
      <c r="M102" s="313">
        <v>64</v>
      </c>
    </row>
    <row r="103" spans="1:13" x14ac:dyDescent="0.2">
      <c r="A103" s="10"/>
      <c r="B103" s="10"/>
      <c r="C103" s="12" t="s">
        <v>50</v>
      </c>
      <c r="E103" s="89">
        <v>24443</v>
      </c>
      <c r="F103" s="89">
        <v>24441</v>
      </c>
      <c r="G103" s="89">
        <v>25437</v>
      </c>
      <c r="H103" s="89">
        <v>21388</v>
      </c>
      <c r="I103" s="89">
        <v>20457</v>
      </c>
      <c r="J103" s="89">
        <v>18767.037546014591</v>
      </c>
      <c r="K103" s="89">
        <v>16291.037546014591</v>
      </c>
      <c r="L103" s="89">
        <v>17306.430325628542</v>
      </c>
      <c r="M103" s="89">
        <v>23849.154856205565</v>
      </c>
    </row>
    <row r="104" spans="1:13" x14ac:dyDescent="0.2">
      <c r="A104" s="10"/>
      <c r="B104" s="10"/>
      <c r="C104" s="10"/>
      <c r="E104" s="312"/>
      <c r="F104" s="312"/>
      <c r="G104" s="312"/>
      <c r="H104" s="312"/>
      <c r="I104" s="312"/>
      <c r="J104" s="312"/>
      <c r="K104" s="312"/>
      <c r="L104" s="312"/>
      <c r="M104" s="312"/>
    </row>
    <row r="105" spans="1:13" ht="15.75" x14ac:dyDescent="0.2">
      <c r="A105" s="20" t="s">
        <v>51</v>
      </c>
      <c r="B105" s="10"/>
      <c r="C105" s="10"/>
      <c r="E105" s="312"/>
      <c r="F105" s="312"/>
      <c r="G105" s="312"/>
      <c r="H105" s="312"/>
      <c r="I105" s="312"/>
      <c r="J105" s="312"/>
      <c r="K105" s="312"/>
      <c r="L105" s="312"/>
      <c r="M105" s="312"/>
    </row>
    <row r="106" spans="1:13" x14ac:dyDescent="0.2">
      <c r="A106" s="10"/>
      <c r="B106" s="10" t="s">
        <v>52</v>
      </c>
      <c r="C106" s="10"/>
      <c r="E106" s="313">
        <v>1488</v>
      </c>
      <c r="F106" s="313">
        <v>1918</v>
      </c>
      <c r="G106" s="313">
        <v>2662</v>
      </c>
      <c r="H106" s="313">
        <v>0</v>
      </c>
      <c r="I106" s="313">
        <v>113</v>
      </c>
      <c r="J106" s="313">
        <v>0</v>
      </c>
      <c r="K106" s="313">
        <v>0</v>
      </c>
      <c r="L106" s="313">
        <v>0</v>
      </c>
      <c r="M106" s="313">
        <v>0</v>
      </c>
    </row>
    <row r="107" spans="1:13" x14ac:dyDescent="0.2">
      <c r="A107" s="10"/>
      <c r="B107" s="10" t="s">
        <v>53</v>
      </c>
      <c r="C107" s="10"/>
      <c r="E107" s="313">
        <v>10829</v>
      </c>
      <c r="F107" s="313">
        <v>6576</v>
      </c>
      <c r="G107" s="313">
        <v>7245</v>
      </c>
      <c r="H107" s="313">
        <v>10477</v>
      </c>
      <c r="I107" s="313">
        <v>7669</v>
      </c>
      <c r="J107" s="313">
        <v>7070</v>
      </c>
      <c r="K107" s="313">
        <v>6820</v>
      </c>
      <c r="L107" s="313">
        <v>6820</v>
      </c>
      <c r="M107" s="313">
        <v>6820</v>
      </c>
    </row>
    <row r="108" spans="1:13" x14ac:dyDescent="0.2">
      <c r="A108" s="10"/>
      <c r="B108" s="10" t="s">
        <v>54</v>
      </c>
      <c r="C108" s="10"/>
      <c r="E108" s="313">
        <v>1815</v>
      </c>
      <c r="F108" s="313">
        <v>2372</v>
      </c>
      <c r="G108" s="313">
        <v>2662</v>
      </c>
      <c r="H108" s="313">
        <v>2529</v>
      </c>
      <c r="I108" s="313">
        <v>2602</v>
      </c>
      <c r="J108" s="313">
        <v>3207</v>
      </c>
      <c r="K108" s="313">
        <v>3207</v>
      </c>
      <c r="L108" s="313">
        <v>3207</v>
      </c>
      <c r="M108" s="313">
        <v>3207</v>
      </c>
    </row>
    <row r="109" spans="1:13" x14ac:dyDescent="0.2">
      <c r="A109" s="10"/>
      <c r="B109" s="10" t="s">
        <v>55</v>
      </c>
      <c r="C109" s="10"/>
      <c r="E109" s="313">
        <v>1927</v>
      </c>
      <c r="F109" s="313">
        <v>1087</v>
      </c>
      <c r="G109" s="313">
        <v>1836</v>
      </c>
      <c r="H109" s="313">
        <v>2668</v>
      </c>
      <c r="I109" s="313">
        <v>3625</v>
      </c>
      <c r="J109" s="313">
        <v>2963</v>
      </c>
      <c r="K109" s="313">
        <v>2963</v>
      </c>
      <c r="L109" s="313">
        <v>2963</v>
      </c>
      <c r="M109" s="313">
        <v>2963</v>
      </c>
    </row>
    <row r="110" spans="1:13" x14ac:dyDescent="0.2">
      <c r="A110" s="10"/>
      <c r="B110" s="10" t="s">
        <v>56</v>
      </c>
      <c r="C110" s="10"/>
      <c r="E110" s="313">
        <v>2</v>
      </c>
      <c r="F110" s="313">
        <v>65</v>
      </c>
      <c r="G110" s="313">
        <v>332</v>
      </c>
      <c r="H110" s="313">
        <v>89</v>
      </c>
      <c r="I110" s="313">
        <v>0</v>
      </c>
      <c r="J110" s="313">
        <v>711</v>
      </c>
      <c r="K110" s="313">
        <v>388</v>
      </c>
      <c r="L110" s="313">
        <v>238</v>
      </c>
      <c r="M110" s="313">
        <v>138</v>
      </c>
    </row>
    <row r="111" spans="1:13" x14ac:dyDescent="0.2">
      <c r="A111" s="10"/>
      <c r="B111" s="10" t="s">
        <v>57</v>
      </c>
      <c r="C111" s="10"/>
      <c r="E111" s="313">
        <v>3750</v>
      </c>
      <c r="F111" s="313">
        <v>9300</v>
      </c>
      <c r="G111" s="313">
        <v>14268</v>
      </c>
      <c r="H111" s="313">
        <v>19618</v>
      </c>
      <c r="I111" s="313">
        <v>2142</v>
      </c>
      <c r="J111" s="313">
        <v>0</v>
      </c>
      <c r="K111" s="313">
        <v>0</v>
      </c>
      <c r="L111" s="313">
        <v>0</v>
      </c>
      <c r="M111" s="313">
        <v>0</v>
      </c>
    </row>
    <row r="112" spans="1:13" x14ac:dyDescent="0.2">
      <c r="A112" s="10"/>
      <c r="B112" s="10" t="s">
        <v>58</v>
      </c>
      <c r="C112" s="10"/>
      <c r="E112" s="313">
        <v>416</v>
      </c>
      <c r="F112" s="313">
        <v>179</v>
      </c>
      <c r="G112" s="313">
        <v>335</v>
      </c>
      <c r="H112" s="313">
        <v>297</v>
      </c>
      <c r="I112" s="313">
        <v>0</v>
      </c>
      <c r="J112" s="313">
        <v>38</v>
      </c>
      <c r="K112" s="313">
        <v>15</v>
      </c>
      <c r="L112" s="313">
        <v>0</v>
      </c>
      <c r="M112" s="313">
        <v>0</v>
      </c>
    </row>
    <row r="113" spans="1:13" x14ac:dyDescent="0.2">
      <c r="A113" s="10"/>
      <c r="B113" s="10" t="s">
        <v>59</v>
      </c>
      <c r="C113" s="10"/>
      <c r="E113" s="313">
        <v>0</v>
      </c>
      <c r="F113" s="313">
        <v>0</v>
      </c>
      <c r="G113" s="313">
        <v>0</v>
      </c>
      <c r="H113" s="313">
        <v>0</v>
      </c>
      <c r="I113" s="313">
        <v>0</v>
      </c>
      <c r="J113" s="313">
        <v>0</v>
      </c>
      <c r="K113" s="313">
        <v>0</v>
      </c>
      <c r="L113" s="313">
        <v>0</v>
      </c>
      <c r="M113" s="313">
        <v>0</v>
      </c>
    </row>
    <row r="114" spans="1:13" x14ac:dyDescent="0.2">
      <c r="A114" s="10"/>
      <c r="B114" s="10" t="s">
        <v>33</v>
      </c>
      <c r="C114" s="10"/>
      <c r="E114" s="313">
        <v>0</v>
      </c>
      <c r="F114" s="313">
        <v>0</v>
      </c>
      <c r="G114" s="313">
        <v>219</v>
      </c>
      <c r="H114" s="313">
        <v>111</v>
      </c>
      <c r="I114" s="313">
        <v>0</v>
      </c>
      <c r="J114" s="313">
        <v>0</v>
      </c>
      <c r="K114" s="313">
        <v>0</v>
      </c>
      <c r="L114" s="313">
        <v>0</v>
      </c>
      <c r="M114" s="313">
        <v>0</v>
      </c>
    </row>
    <row r="115" spans="1:13" x14ac:dyDescent="0.2">
      <c r="A115" s="10"/>
      <c r="B115" s="10"/>
      <c r="C115" s="12" t="s">
        <v>60</v>
      </c>
      <c r="E115" s="89">
        <v>20227</v>
      </c>
      <c r="F115" s="89">
        <v>21497</v>
      </c>
      <c r="G115" s="89">
        <v>29559</v>
      </c>
      <c r="H115" s="89">
        <v>35789</v>
      </c>
      <c r="I115" s="89">
        <v>16151</v>
      </c>
      <c r="J115" s="89">
        <v>13989</v>
      </c>
      <c r="K115" s="89">
        <v>13393</v>
      </c>
      <c r="L115" s="89">
        <v>13228</v>
      </c>
      <c r="M115" s="89">
        <v>13128</v>
      </c>
    </row>
    <row r="116" spans="1:13" x14ac:dyDescent="0.2">
      <c r="A116" s="10"/>
      <c r="B116" s="10"/>
      <c r="C116" s="10"/>
      <c r="E116" s="312"/>
      <c r="F116" s="312"/>
      <c r="G116" s="312"/>
      <c r="H116" s="312"/>
      <c r="I116" s="312"/>
      <c r="J116" s="312"/>
      <c r="K116" s="312"/>
      <c r="L116" s="312"/>
      <c r="M116" s="312"/>
    </row>
    <row r="117" spans="1:13" ht="15.75" x14ac:dyDescent="0.2">
      <c r="A117" s="20" t="s">
        <v>61</v>
      </c>
      <c r="B117" s="10"/>
      <c r="C117" s="10"/>
      <c r="E117" s="249">
        <v>4216</v>
      </c>
      <c r="F117" s="249">
        <v>2944</v>
      </c>
      <c r="G117" s="249">
        <v>-4122</v>
      </c>
      <c r="H117" s="249">
        <v>-14401</v>
      </c>
      <c r="I117" s="249">
        <v>4306</v>
      </c>
      <c r="J117" s="249">
        <v>4778.0375460145915</v>
      </c>
      <c r="K117" s="249">
        <v>2898.0375460145915</v>
      </c>
      <c r="L117" s="249">
        <v>4078.4303256285421</v>
      </c>
      <c r="M117" s="249">
        <v>10721.154856205565</v>
      </c>
    </row>
    <row r="118" spans="1:13" x14ac:dyDescent="0.2">
      <c r="A118" s="10"/>
      <c r="B118" s="10"/>
      <c r="C118" s="10"/>
      <c r="E118" s="312"/>
      <c r="F118" s="312"/>
      <c r="G118" s="312"/>
      <c r="H118" s="312"/>
      <c r="I118" s="312"/>
      <c r="J118" s="312"/>
      <c r="K118" s="312"/>
      <c r="L118" s="312"/>
      <c r="M118" s="312"/>
    </row>
    <row r="119" spans="1:13" ht="15.75" x14ac:dyDescent="0.2">
      <c r="A119" s="20" t="s">
        <v>501</v>
      </c>
      <c r="B119" s="10"/>
      <c r="C119" s="10"/>
      <c r="E119" s="312"/>
      <c r="F119" s="312"/>
      <c r="G119" s="312"/>
      <c r="H119" s="312"/>
      <c r="I119" s="312"/>
      <c r="J119" s="312"/>
      <c r="K119" s="312"/>
      <c r="L119" s="312"/>
      <c r="M119" s="312"/>
    </row>
    <row r="120" spans="1:13" x14ac:dyDescent="0.2">
      <c r="A120" s="10"/>
      <c r="B120" s="10" t="s">
        <v>62</v>
      </c>
      <c r="C120" s="10"/>
      <c r="E120" s="313">
        <v>83474</v>
      </c>
      <c r="F120" s="313">
        <v>103459</v>
      </c>
      <c r="G120" s="313">
        <v>106389</v>
      </c>
      <c r="H120" s="313">
        <v>117244</v>
      </c>
      <c r="I120" s="313">
        <v>126383</v>
      </c>
      <c r="J120" s="313">
        <v>144850</v>
      </c>
      <c r="K120" s="313">
        <v>155136.84799989586</v>
      </c>
      <c r="L120" s="313">
        <v>153007.72469964583</v>
      </c>
      <c r="M120" s="313">
        <v>150528.60139939585</v>
      </c>
    </row>
    <row r="121" spans="1:13" x14ac:dyDescent="0.2">
      <c r="A121" s="10"/>
      <c r="B121" s="10" t="s">
        <v>63</v>
      </c>
      <c r="C121" s="10"/>
      <c r="E121" s="313">
        <v>3118</v>
      </c>
      <c r="F121" s="313">
        <v>2873</v>
      </c>
      <c r="G121" s="313">
        <v>3174</v>
      </c>
      <c r="H121" s="313">
        <v>2548</v>
      </c>
      <c r="I121" s="313">
        <v>2242</v>
      </c>
      <c r="J121" s="313">
        <v>233</v>
      </c>
      <c r="K121" s="313">
        <v>250</v>
      </c>
      <c r="L121" s="313">
        <v>250</v>
      </c>
      <c r="M121" s="313">
        <v>250</v>
      </c>
    </row>
    <row r="122" spans="1:13" x14ac:dyDescent="0.2">
      <c r="A122" s="10"/>
      <c r="B122" s="10" t="s">
        <v>64</v>
      </c>
      <c r="C122" s="10"/>
      <c r="E122" s="313">
        <v>10554</v>
      </c>
      <c r="F122" s="313">
        <v>11911</v>
      </c>
      <c r="G122" s="313">
        <v>11642</v>
      </c>
      <c r="H122" s="313">
        <v>9153</v>
      </c>
      <c r="I122" s="313">
        <v>8893</v>
      </c>
      <c r="J122" s="313">
        <v>450</v>
      </c>
      <c r="K122" s="313">
        <v>450</v>
      </c>
      <c r="L122" s="313">
        <v>450</v>
      </c>
      <c r="M122" s="313">
        <v>450</v>
      </c>
    </row>
    <row r="123" spans="1:13" x14ac:dyDescent="0.2">
      <c r="A123" s="10"/>
      <c r="B123" s="10" t="s">
        <v>65</v>
      </c>
      <c r="C123" s="10"/>
      <c r="E123" s="313">
        <v>0</v>
      </c>
      <c r="F123" s="313">
        <v>0</v>
      </c>
      <c r="G123" s="313">
        <v>0</v>
      </c>
      <c r="H123" s="313">
        <v>0</v>
      </c>
      <c r="I123" s="313">
        <v>0</v>
      </c>
      <c r="J123" s="313">
        <v>0</v>
      </c>
      <c r="K123" s="313">
        <v>0</v>
      </c>
      <c r="L123" s="313">
        <v>0</v>
      </c>
      <c r="M123" s="313">
        <v>0</v>
      </c>
    </row>
    <row r="124" spans="1:13" x14ac:dyDescent="0.2">
      <c r="A124" s="10"/>
      <c r="B124" s="10" t="s">
        <v>33</v>
      </c>
      <c r="C124" s="10"/>
      <c r="E124" s="313">
        <v>345</v>
      </c>
      <c r="F124" s="313">
        <v>463</v>
      </c>
      <c r="G124" s="313">
        <v>492</v>
      </c>
      <c r="H124" s="313">
        <v>654</v>
      </c>
      <c r="I124" s="313">
        <v>767</v>
      </c>
      <c r="J124" s="313">
        <v>413</v>
      </c>
      <c r="K124" s="313">
        <v>447</v>
      </c>
      <c r="L124" s="313">
        <v>369</v>
      </c>
      <c r="M124" s="313">
        <v>450</v>
      </c>
    </row>
    <row r="125" spans="1:13" x14ac:dyDescent="0.2">
      <c r="A125" s="10"/>
      <c r="B125" s="10"/>
      <c r="C125" s="12" t="s">
        <v>502</v>
      </c>
      <c r="E125" s="89">
        <v>97491</v>
      </c>
      <c r="F125" s="89">
        <v>118706</v>
      </c>
      <c r="G125" s="89">
        <v>121697</v>
      </c>
      <c r="H125" s="89">
        <v>129599</v>
      </c>
      <c r="I125" s="89">
        <v>138285</v>
      </c>
      <c r="J125" s="89">
        <v>145946</v>
      </c>
      <c r="K125" s="89">
        <v>156283.84799989586</v>
      </c>
      <c r="L125" s="89">
        <v>154076.72469964583</v>
      </c>
      <c r="M125" s="89">
        <v>151678.60139939585</v>
      </c>
    </row>
    <row r="126" spans="1:13" x14ac:dyDescent="0.2">
      <c r="A126" s="10"/>
      <c r="B126" s="10"/>
      <c r="C126" s="10"/>
      <c r="E126" s="312"/>
      <c r="F126" s="312"/>
      <c r="G126" s="312"/>
      <c r="H126" s="312"/>
      <c r="I126" s="312"/>
      <c r="J126" s="312"/>
      <c r="K126" s="312"/>
      <c r="L126" s="312"/>
      <c r="M126" s="312"/>
    </row>
    <row r="127" spans="1:13" ht="15.75" x14ac:dyDescent="0.2">
      <c r="A127" s="20" t="s">
        <v>67</v>
      </c>
      <c r="B127" s="10"/>
      <c r="C127" s="10"/>
      <c r="E127" s="312"/>
      <c r="F127" s="312"/>
      <c r="G127" s="312"/>
      <c r="H127" s="312"/>
      <c r="I127" s="312"/>
      <c r="J127" s="312"/>
      <c r="K127" s="312"/>
      <c r="L127" s="312"/>
      <c r="M127" s="312"/>
    </row>
    <row r="128" spans="1:13" x14ac:dyDescent="0.2">
      <c r="A128" s="10"/>
      <c r="B128" s="10" t="s">
        <v>68</v>
      </c>
      <c r="C128" s="10"/>
      <c r="E128" s="313">
        <v>38</v>
      </c>
      <c r="F128" s="313">
        <v>38</v>
      </c>
      <c r="G128" s="313">
        <v>38</v>
      </c>
      <c r="H128" s="313">
        <v>0</v>
      </c>
      <c r="I128" s="313">
        <v>0</v>
      </c>
      <c r="J128" s="313">
        <v>0</v>
      </c>
      <c r="K128" s="313">
        <v>0</v>
      </c>
      <c r="L128" s="313">
        <v>0</v>
      </c>
      <c r="M128" s="313">
        <v>0</v>
      </c>
    </row>
    <row r="129" spans="1:13" x14ac:dyDescent="0.2">
      <c r="A129" s="10"/>
      <c r="B129" s="10" t="s">
        <v>69</v>
      </c>
      <c r="C129" s="10"/>
      <c r="E129" s="313">
        <v>120</v>
      </c>
      <c r="F129" s="313">
        <v>24</v>
      </c>
      <c r="G129" s="313">
        <v>24</v>
      </c>
      <c r="H129" s="313">
        <v>1748</v>
      </c>
      <c r="I129" s="313">
        <v>2802</v>
      </c>
      <c r="J129" s="313">
        <v>3140</v>
      </c>
      <c r="K129" s="313">
        <v>3139.9999999999854</v>
      </c>
      <c r="L129" s="313">
        <v>3140.0000000000146</v>
      </c>
      <c r="M129" s="313">
        <v>3140</v>
      </c>
    </row>
    <row r="130" spans="1:13" ht="15.75" x14ac:dyDescent="0.2">
      <c r="A130" s="20"/>
      <c r="B130" s="10" t="s">
        <v>70</v>
      </c>
      <c r="C130" s="10"/>
      <c r="E130" s="249">
        <v>158</v>
      </c>
      <c r="F130" s="249">
        <v>62</v>
      </c>
      <c r="G130" s="249">
        <v>62</v>
      </c>
      <c r="H130" s="249">
        <v>1748</v>
      </c>
      <c r="I130" s="249">
        <v>2802</v>
      </c>
      <c r="J130" s="249">
        <v>3140</v>
      </c>
      <c r="K130" s="249">
        <v>3139.9999999999854</v>
      </c>
      <c r="L130" s="249">
        <v>3140.0000000000146</v>
      </c>
      <c r="M130" s="249">
        <v>3140</v>
      </c>
    </row>
    <row r="131" spans="1:13" x14ac:dyDescent="0.2">
      <c r="A131" s="10"/>
      <c r="B131" s="10" t="s">
        <v>71</v>
      </c>
      <c r="C131" s="10"/>
      <c r="E131" s="313">
        <v>667</v>
      </c>
      <c r="F131" s="313">
        <v>731</v>
      </c>
      <c r="G131" s="313">
        <v>543</v>
      </c>
      <c r="H131" s="313">
        <v>408</v>
      </c>
      <c r="I131" s="313">
        <v>332</v>
      </c>
      <c r="J131" s="313">
        <v>0</v>
      </c>
      <c r="K131" s="313">
        <v>0</v>
      </c>
      <c r="L131" s="313">
        <v>0</v>
      </c>
      <c r="M131" s="313">
        <v>0</v>
      </c>
    </row>
    <row r="132" spans="1:13" x14ac:dyDescent="0.2">
      <c r="A132" s="10"/>
      <c r="B132" s="10" t="s">
        <v>72</v>
      </c>
      <c r="C132" s="10"/>
      <c r="E132" s="313">
        <v>77</v>
      </c>
      <c r="F132" s="313">
        <v>77</v>
      </c>
      <c r="G132" s="313">
        <v>100</v>
      </c>
      <c r="H132" s="313">
        <v>106</v>
      </c>
      <c r="I132" s="313">
        <v>113</v>
      </c>
      <c r="J132" s="313">
        <v>0</v>
      </c>
      <c r="K132" s="313">
        <v>0</v>
      </c>
      <c r="L132" s="313">
        <v>0</v>
      </c>
      <c r="M132" s="313">
        <v>0</v>
      </c>
    </row>
    <row r="133" spans="1:13" x14ac:dyDescent="0.2">
      <c r="A133" s="10"/>
      <c r="B133" s="10" t="s">
        <v>33</v>
      </c>
      <c r="C133" s="10"/>
      <c r="E133" s="313">
        <v>1173</v>
      </c>
      <c r="F133" s="313">
        <v>0</v>
      </c>
      <c r="G133" s="313">
        <v>1141</v>
      </c>
      <c r="H133" s="313">
        <v>4681</v>
      </c>
      <c r="I133" s="313">
        <v>4489</v>
      </c>
      <c r="J133" s="313">
        <v>0</v>
      </c>
      <c r="K133" s="313">
        <v>0</v>
      </c>
      <c r="L133" s="313">
        <v>0</v>
      </c>
      <c r="M133" s="313">
        <v>0</v>
      </c>
    </row>
    <row r="134" spans="1:13" x14ac:dyDescent="0.2">
      <c r="A134" s="10"/>
      <c r="B134" s="10"/>
      <c r="C134" s="12" t="s">
        <v>73</v>
      </c>
      <c r="E134" s="89">
        <v>2075</v>
      </c>
      <c r="F134" s="89">
        <v>870</v>
      </c>
      <c r="G134" s="89">
        <v>1846</v>
      </c>
      <c r="H134" s="89">
        <v>6943</v>
      </c>
      <c r="I134" s="89">
        <v>7736</v>
      </c>
      <c r="J134" s="89">
        <v>3140</v>
      </c>
      <c r="K134" s="89">
        <v>3139.9999999999854</v>
      </c>
      <c r="L134" s="89">
        <v>3140.0000000000146</v>
      </c>
      <c r="M134" s="89">
        <v>3140</v>
      </c>
    </row>
    <row r="135" spans="1:13" x14ac:dyDescent="0.2">
      <c r="A135" s="10"/>
      <c r="B135" s="10"/>
      <c r="C135" s="10"/>
      <c r="E135" s="312"/>
      <c r="F135" s="312"/>
      <c r="G135" s="312"/>
      <c r="H135" s="312"/>
      <c r="I135" s="312"/>
      <c r="J135" s="312"/>
      <c r="K135" s="312"/>
      <c r="L135" s="312"/>
      <c r="M135" s="312"/>
    </row>
    <row r="136" spans="1:13" ht="15.75" x14ac:dyDescent="0.2">
      <c r="A136" s="20" t="s">
        <v>74</v>
      </c>
      <c r="B136" s="10"/>
      <c r="C136" s="10"/>
      <c r="E136" s="312"/>
      <c r="F136" s="312"/>
      <c r="G136" s="312"/>
      <c r="H136" s="312"/>
      <c r="I136" s="312"/>
      <c r="J136" s="312"/>
      <c r="K136" s="312"/>
      <c r="L136" s="312"/>
      <c r="M136" s="312"/>
    </row>
    <row r="137" spans="1:13" x14ac:dyDescent="0.2">
      <c r="A137" s="10"/>
      <c r="B137" s="10" t="s">
        <v>75</v>
      </c>
      <c r="C137" s="10"/>
      <c r="E137" s="313">
        <v>2000</v>
      </c>
      <c r="F137" s="313">
        <v>0</v>
      </c>
      <c r="G137" s="313">
        <v>0</v>
      </c>
      <c r="H137" s="313">
        <v>0</v>
      </c>
      <c r="I137" s="313">
        <v>4679</v>
      </c>
      <c r="J137" s="313">
        <v>4625</v>
      </c>
      <c r="K137" s="313">
        <v>6134.1850496190746</v>
      </c>
      <c r="L137" s="313">
        <v>1325</v>
      </c>
      <c r="M137" s="313">
        <v>1325</v>
      </c>
    </row>
    <row r="138" spans="1:13" x14ac:dyDescent="0.2">
      <c r="A138" s="10"/>
      <c r="B138" s="10" t="s">
        <v>76</v>
      </c>
      <c r="C138" s="10"/>
      <c r="E138" s="313">
        <v>635</v>
      </c>
      <c r="F138" s="313">
        <v>135</v>
      </c>
      <c r="G138" s="313">
        <v>494</v>
      </c>
      <c r="H138" s="313">
        <v>196</v>
      </c>
      <c r="I138" s="313">
        <v>0</v>
      </c>
      <c r="J138" s="313">
        <v>16</v>
      </c>
      <c r="K138" s="313">
        <v>0</v>
      </c>
      <c r="L138" s="313">
        <v>0</v>
      </c>
      <c r="M138" s="313">
        <v>0</v>
      </c>
    </row>
    <row r="139" spans="1:13" x14ac:dyDescent="0.2">
      <c r="A139" s="10"/>
      <c r="B139" s="10" t="s">
        <v>33</v>
      </c>
      <c r="C139" s="10"/>
      <c r="E139" s="313">
        <v>105</v>
      </c>
      <c r="F139" s="313">
        <v>399</v>
      </c>
      <c r="G139" s="313">
        <v>123</v>
      </c>
      <c r="H139" s="313">
        <v>653</v>
      </c>
      <c r="I139" s="313">
        <v>591</v>
      </c>
      <c r="J139" s="313">
        <v>179</v>
      </c>
      <c r="K139" s="313">
        <v>179</v>
      </c>
      <c r="L139" s="313">
        <v>179</v>
      </c>
      <c r="M139" s="313">
        <v>179</v>
      </c>
    </row>
    <row r="140" spans="1:13" x14ac:dyDescent="0.2">
      <c r="A140" s="10"/>
      <c r="B140" s="10"/>
      <c r="C140" s="12" t="s">
        <v>77</v>
      </c>
      <c r="E140" s="89">
        <v>2740</v>
      </c>
      <c r="F140" s="89">
        <v>534</v>
      </c>
      <c r="G140" s="89">
        <v>617</v>
      </c>
      <c r="H140" s="89">
        <v>849</v>
      </c>
      <c r="I140" s="89">
        <v>5270</v>
      </c>
      <c r="J140" s="89">
        <v>4820</v>
      </c>
      <c r="K140" s="89">
        <v>6313.1850496190746</v>
      </c>
      <c r="L140" s="89">
        <v>1504</v>
      </c>
      <c r="M140" s="89">
        <v>1504</v>
      </c>
    </row>
    <row r="141" spans="1:13" x14ac:dyDescent="0.2">
      <c r="A141" s="10"/>
      <c r="B141" s="10"/>
      <c r="C141" s="10"/>
      <c r="E141" s="249"/>
      <c r="F141" s="249"/>
      <c r="G141" s="249"/>
      <c r="H141" s="249"/>
      <c r="I141" s="249"/>
      <c r="J141" s="249"/>
      <c r="K141" s="249"/>
      <c r="L141" s="249"/>
      <c r="M141" s="249"/>
    </row>
    <row r="142" spans="1:13" ht="16.5" thickBot="1" x14ac:dyDescent="0.25">
      <c r="A142" s="20" t="s">
        <v>78</v>
      </c>
      <c r="B142" s="10"/>
      <c r="C142" s="10"/>
      <c r="E142" s="255">
        <v>101042</v>
      </c>
      <c r="F142" s="255">
        <v>121986</v>
      </c>
      <c r="G142" s="255">
        <v>118804</v>
      </c>
      <c r="H142" s="255">
        <v>121292</v>
      </c>
      <c r="I142" s="255">
        <v>145057</v>
      </c>
      <c r="J142" s="255">
        <v>149044.03754601459</v>
      </c>
      <c r="K142" s="255">
        <v>156008.70049629139</v>
      </c>
      <c r="L142" s="255">
        <v>159791.15502527438</v>
      </c>
      <c r="M142" s="255">
        <v>164035.75625560142</v>
      </c>
    </row>
    <row r="143" spans="1:13" ht="15.75" thickTop="1" x14ac:dyDescent="0.2">
      <c r="A143" s="10"/>
      <c r="B143" s="10"/>
      <c r="C143" s="10"/>
      <c r="E143" s="312"/>
      <c r="F143" s="312"/>
      <c r="G143" s="312"/>
      <c r="H143" s="312"/>
      <c r="I143" s="312"/>
      <c r="J143" s="312"/>
      <c r="K143" s="312"/>
      <c r="L143" s="312"/>
      <c r="M143" s="312"/>
    </row>
    <row r="144" spans="1:13" ht="15.75" x14ac:dyDescent="0.2">
      <c r="A144" s="20" t="s">
        <v>79</v>
      </c>
      <c r="B144" s="10"/>
      <c r="C144" s="10"/>
      <c r="E144" s="312"/>
      <c r="F144" s="312"/>
      <c r="G144" s="312"/>
      <c r="H144" s="312"/>
      <c r="I144" s="312"/>
      <c r="J144" s="312"/>
      <c r="K144" s="312"/>
      <c r="L144" s="312"/>
      <c r="M144" s="312"/>
    </row>
    <row r="145" spans="1:13" x14ac:dyDescent="0.2">
      <c r="A145" s="10"/>
      <c r="B145" s="10" t="s">
        <v>80</v>
      </c>
      <c r="C145" s="10"/>
      <c r="E145" s="313">
        <v>93989</v>
      </c>
      <c r="F145" s="313">
        <v>106701</v>
      </c>
      <c r="G145" s="313">
        <v>103139</v>
      </c>
      <c r="H145" s="313">
        <v>102993</v>
      </c>
      <c r="I145" s="313">
        <v>105211</v>
      </c>
      <c r="J145" s="313">
        <v>125229.87181689459</v>
      </c>
      <c r="K145" s="313">
        <v>132194.53476717137</v>
      </c>
      <c r="L145" s="313">
        <v>135976.98929615438</v>
      </c>
      <c r="M145" s="313">
        <v>140221.59052648139</v>
      </c>
    </row>
    <row r="146" spans="1:13" x14ac:dyDescent="0.2">
      <c r="A146" s="10"/>
      <c r="B146" s="10" t="s">
        <v>81</v>
      </c>
      <c r="C146" s="10"/>
      <c r="E146" s="313">
        <v>6895</v>
      </c>
      <c r="F146" s="313">
        <v>15121</v>
      </c>
      <c r="G146" s="313">
        <v>15475</v>
      </c>
      <c r="H146" s="313">
        <v>18083</v>
      </c>
      <c r="I146" s="313">
        <v>23588</v>
      </c>
      <c r="J146" s="313">
        <v>23588</v>
      </c>
      <c r="K146" s="313">
        <v>23588</v>
      </c>
      <c r="L146" s="313">
        <v>23588</v>
      </c>
      <c r="M146" s="313">
        <v>23588</v>
      </c>
    </row>
    <row r="147" spans="1:13" x14ac:dyDescent="0.2">
      <c r="A147" s="10"/>
      <c r="B147" s="10" t="s">
        <v>82</v>
      </c>
      <c r="C147" s="10"/>
      <c r="E147" s="313">
        <v>158</v>
      </c>
      <c r="F147" s="313">
        <v>164</v>
      </c>
      <c r="G147" s="313">
        <v>190</v>
      </c>
      <c r="H147" s="313">
        <v>216</v>
      </c>
      <c r="I147" s="313">
        <v>140</v>
      </c>
      <c r="J147" s="313">
        <v>86</v>
      </c>
      <c r="K147" s="313">
        <v>86</v>
      </c>
      <c r="L147" s="313">
        <v>86</v>
      </c>
      <c r="M147" s="313">
        <v>86</v>
      </c>
    </row>
    <row r="148" spans="1:13" x14ac:dyDescent="0.2">
      <c r="A148" s="10"/>
      <c r="B148" s="10" t="s">
        <v>83</v>
      </c>
      <c r="C148" s="10"/>
      <c r="E148" s="313">
        <v>0</v>
      </c>
      <c r="F148" s="313">
        <v>0</v>
      </c>
      <c r="G148" s="313">
        <v>0</v>
      </c>
      <c r="H148" s="313">
        <v>0</v>
      </c>
      <c r="I148" s="313">
        <v>16118</v>
      </c>
      <c r="J148" s="313">
        <v>140</v>
      </c>
      <c r="K148" s="313">
        <v>140</v>
      </c>
      <c r="L148" s="313">
        <v>140</v>
      </c>
      <c r="M148" s="313">
        <v>140</v>
      </c>
    </row>
    <row r="149" spans="1:13" ht="15.75" thickBot="1" x14ac:dyDescent="0.25">
      <c r="A149" s="10"/>
      <c r="B149" s="10"/>
      <c r="C149" s="12" t="s">
        <v>84</v>
      </c>
      <c r="E149" s="255">
        <v>101042</v>
      </c>
      <c r="F149" s="255">
        <v>121986</v>
      </c>
      <c r="G149" s="255">
        <v>118804</v>
      </c>
      <c r="H149" s="255">
        <v>121292</v>
      </c>
      <c r="I149" s="255">
        <v>145057</v>
      </c>
      <c r="J149" s="255">
        <v>149043.87181689459</v>
      </c>
      <c r="K149" s="255">
        <v>156008.53476717137</v>
      </c>
      <c r="L149" s="255">
        <v>159790.98929615438</v>
      </c>
      <c r="M149" s="255">
        <v>164035.59052648139</v>
      </c>
    </row>
    <row r="150" spans="1:13" ht="15.75" thickTop="1" x14ac:dyDescent="0.2">
      <c r="A150" s="10" t="s">
        <v>85</v>
      </c>
      <c r="B150" s="10"/>
      <c r="C150" s="10"/>
      <c r="E150" s="256" t="s">
        <v>210</v>
      </c>
      <c r="F150" s="256" t="s">
        <v>210</v>
      </c>
      <c r="G150" s="256" t="s">
        <v>210</v>
      </c>
      <c r="H150" s="256" t="s">
        <v>210</v>
      </c>
      <c r="I150" s="256" t="s">
        <v>210</v>
      </c>
      <c r="J150" s="256" t="s">
        <v>210</v>
      </c>
      <c r="K150" s="256" t="s">
        <v>210</v>
      </c>
      <c r="L150" s="256" t="s">
        <v>210</v>
      </c>
      <c r="M150" s="256" t="s">
        <v>210</v>
      </c>
    </row>
    <row r="151" spans="1:13" x14ac:dyDescent="0.2">
      <c r="A151" s="21" t="s">
        <v>86</v>
      </c>
      <c r="B151" s="10"/>
      <c r="C151" s="10"/>
      <c r="E151" s="313"/>
      <c r="F151" s="313"/>
      <c r="G151" s="313"/>
      <c r="H151" s="313"/>
      <c r="I151" s="313"/>
      <c r="J151" s="313"/>
      <c r="K151" s="313"/>
      <c r="L151" s="313"/>
      <c r="M151" s="313"/>
    </row>
    <row r="152" spans="1:13" x14ac:dyDescent="0.2">
      <c r="A152" s="22" t="s">
        <v>62</v>
      </c>
      <c r="B152" s="10"/>
      <c r="C152" s="10"/>
      <c r="E152" s="313"/>
      <c r="F152" s="313"/>
      <c r="G152" s="313"/>
      <c r="H152" s="313"/>
      <c r="I152" s="313"/>
      <c r="J152" s="313"/>
      <c r="K152" s="313"/>
      <c r="L152" s="313"/>
      <c r="M152" s="313"/>
    </row>
    <row r="153" spans="1:13" x14ac:dyDescent="0.2">
      <c r="A153" s="22" t="s">
        <v>87</v>
      </c>
      <c r="B153" s="10"/>
      <c r="C153" s="10"/>
      <c r="E153" s="313"/>
      <c r="F153" s="313"/>
      <c r="G153" s="313"/>
      <c r="H153" s="313"/>
      <c r="I153" s="313"/>
      <c r="J153" s="313"/>
      <c r="K153" s="313"/>
      <c r="L153" s="313"/>
      <c r="M153" s="313"/>
    </row>
    <row r="154" spans="1:13" x14ac:dyDescent="0.2">
      <c r="A154" s="22" t="s">
        <v>88</v>
      </c>
      <c r="B154" s="10"/>
      <c r="C154" s="10"/>
      <c r="E154" s="313"/>
      <c r="F154" s="313"/>
      <c r="G154" s="313"/>
      <c r="H154" s="313"/>
      <c r="I154" s="313"/>
      <c r="J154" s="313"/>
      <c r="K154" s="313"/>
      <c r="L154" s="313"/>
      <c r="M154" s="313"/>
    </row>
    <row r="155" spans="1:13" x14ac:dyDescent="0.2">
      <c r="A155" s="22" t="s">
        <v>64</v>
      </c>
      <c r="B155" s="10"/>
      <c r="C155" s="10"/>
      <c r="E155" s="313"/>
      <c r="F155" s="313"/>
      <c r="G155" s="313"/>
      <c r="H155" s="313"/>
      <c r="I155" s="313"/>
      <c r="J155" s="313"/>
      <c r="K155" s="313"/>
      <c r="L155" s="313"/>
      <c r="M155" s="313"/>
    </row>
    <row r="156" spans="1:13" x14ac:dyDescent="0.2">
      <c r="A156" s="22" t="s">
        <v>33</v>
      </c>
      <c r="B156" s="10"/>
      <c r="C156" s="10"/>
      <c r="E156" s="313"/>
      <c r="F156" s="313"/>
      <c r="G156" s="313"/>
      <c r="H156" s="313"/>
      <c r="I156" s="313"/>
      <c r="J156" s="313"/>
      <c r="K156" s="313"/>
      <c r="L156" s="313"/>
      <c r="M156" s="313"/>
    </row>
    <row r="157" spans="1:13" x14ac:dyDescent="0.2">
      <c r="A157" s="22"/>
      <c r="B157" s="10"/>
      <c r="C157" s="10"/>
      <c r="E157" s="312"/>
      <c r="F157" s="312"/>
      <c r="G157" s="312"/>
      <c r="H157" s="312"/>
      <c r="I157" s="312"/>
      <c r="J157" s="312"/>
      <c r="K157" s="312"/>
      <c r="L157" s="312"/>
      <c r="M157" s="312"/>
    </row>
    <row r="158" spans="1:13" x14ac:dyDescent="0.2">
      <c r="A158" s="21" t="s">
        <v>503</v>
      </c>
      <c r="B158" s="10"/>
      <c r="C158" s="10"/>
      <c r="E158" s="313">
        <v>6131</v>
      </c>
      <c r="F158" s="313">
        <v>5873</v>
      </c>
      <c r="G158" s="313">
        <v>11908</v>
      </c>
      <c r="H158" s="313">
        <v>21341</v>
      </c>
      <c r="I158" s="313">
        <v>22468</v>
      </c>
      <c r="J158" s="313">
        <v>0</v>
      </c>
      <c r="K158" s="313">
        <v>0</v>
      </c>
      <c r="L158" s="313">
        <v>0</v>
      </c>
      <c r="M158" s="313">
        <v>0</v>
      </c>
    </row>
    <row r="159" spans="1:13" x14ac:dyDescent="0.2">
      <c r="A159" s="21"/>
      <c r="B159" s="10"/>
      <c r="C159" s="10"/>
      <c r="E159" s="312"/>
      <c r="F159" s="312"/>
      <c r="G159" s="312"/>
      <c r="H159" s="312"/>
      <c r="I159" s="312"/>
      <c r="J159" s="312"/>
      <c r="K159" s="312"/>
      <c r="L159" s="312"/>
      <c r="M159" s="312"/>
    </row>
    <row r="160" spans="1:13" x14ac:dyDescent="0.2">
      <c r="A160" s="21" t="s">
        <v>89</v>
      </c>
      <c r="B160" s="10"/>
      <c r="C160" s="10"/>
      <c r="E160" s="313">
        <v>3478</v>
      </c>
      <c r="F160" s="313">
        <v>11218</v>
      </c>
      <c r="G160" s="313">
        <v>0</v>
      </c>
      <c r="H160" s="313">
        <v>21500</v>
      </c>
      <c r="I160" s="313">
        <v>2000</v>
      </c>
      <c r="J160" s="313">
        <v>3300</v>
      </c>
      <c r="K160" s="313">
        <v>5083</v>
      </c>
      <c r="L160" s="313">
        <v>0</v>
      </c>
      <c r="M160" s="313">
        <v>0</v>
      </c>
    </row>
    <row r="161" spans="1:13" x14ac:dyDescent="0.2">
      <c r="A161" s="21" t="s">
        <v>90</v>
      </c>
      <c r="B161" s="10"/>
      <c r="C161" s="10"/>
      <c r="E161" s="313">
        <v>2022</v>
      </c>
      <c r="F161" s="313">
        <v>3282</v>
      </c>
      <c r="G161" s="313">
        <v>3000</v>
      </c>
      <c r="H161" s="313">
        <v>2400</v>
      </c>
      <c r="I161" s="313">
        <v>2000</v>
      </c>
      <c r="J161" s="313">
        <v>3700</v>
      </c>
      <c r="K161" s="313">
        <v>1917</v>
      </c>
      <c r="L161" s="313">
        <v>7000</v>
      </c>
      <c r="M161" s="313">
        <v>7000</v>
      </c>
    </row>
    <row r="162" spans="1:13" x14ac:dyDescent="0.2">
      <c r="A162" s="21"/>
      <c r="B162" s="10"/>
      <c r="C162" s="23"/>
      <c r="E162" s="312"/>
      <c r="F162" s="312"/>
      <c r="G162" s="312"/>
      <c r="H162" s="312"/>
      <c r="I162" s="312"/>
      <c r="J162" s="312"/>
      <c r="K162" s="312"/>
      <c r="L162" s="312"/>
      <c r="M162" s="312"/>
    </row>
    <row r="163" spans="1:13" x14ac:dyDescent="0.2">
      <c r="A163" s="10"/>
      <c r="B163" s="10"/>
      <c r="C163" s="10"/>
      <c r="E163" s="312"/>
      <c r="F163" s="312"/>
      <c r="G163" s="312"/>
      <c r="H163" s="312"/>
      <c r="I163" s="312"/>
      <c r="J163" s="312"/>
      <c r="K163" s="312"/>
      <c r="L163" s="312"/>
      <c r="M163" s="312"/>
    </row>
    <row r="164" spans="1:13" x14ac:dyDescent="0.2">
      <c r="A164" s="10"/>
      <c r="B164" s="10"/>
      <c r="C164" s="10"/>
      <c r="E164" s="312"/>
      <c r="F164" s="312"/>
      <c r="G164" s="312"/>
      <c r="H164" s="312"/>
      <c r="I164" s="312"/>
      <c r="J164" s="312"/>
      <c r="K164" s="312"/>
      <c r="L164" s="312"/>
      <c r="M164" s="312"/>
    </row>
    <row r="165" spans="1:13" ht="20.25" x14ac:dyDescent="0.2">
      <c r="A165" s="18" t="s">
        <v>504</v>
      </c>
      <c r="B165" s="10"/>
      <c r="C165" s="10"/>
      <c r="E165" s="312"/>
      <c r="F165" s="312"/>
      <c r="G165" s="312"/>
      <c r="H165" s="312"/>
      <c r="I165" s="312"/>
      <c r="J165" s="312"/>
      <c r="K165" s="312"/>
      <c r="L165" s="312"/>
      <c r="M165" s="312"/>
    </row>
    <row r="166" spans="1:13" x14ac:dyDescent="0.2">
      <c r="A166" s="10"/>
      <c r="B166" s="10"/>
      <c r="C166" s="10"/>
      <c r="E166" s="312"/>
      <c r="F166" s="312"/>
      <c r="G166" s="312"/>
      <c r="H166" s="312"/>
      <c r="I166" s="312"/>
      <c r="J166" s="312"/>
      <c r="K166" s="312"/>
      <c r="L166" s="312"/>
      <c r="M166" s="312"/>
    </row>
    <row r="167" spans="1:13" ht="80.099999999999994" customHeight="1" x14ac:dyDescent="0.2">
      <c r="A167" s="11" t="s">
        <v>1</v>
      </c>
      <c r="B167" s="10"/>
      <c r="C167" s="10"/>
      <c r="E167" s="312"/>
      <c r="F167" s="312"/>
      <c r="G167" s="312"/>
      <c r="H167" s="312"/>
      <c r="I167" s="312"/>
      <c r="J167" s="312"/>
      <c r="K167" s="312"/>
      <c r="L167" s="312"/>
      <c r="M167" s="312"/>
    </row>
    <row r="168" spans="1:13" x14ac:dyDescent="0.2">
      <c r="A168" s="10"/>
      <c r="B168" s="10"/>
      <c r="C168" s="10"/>
      <c r="E168" s="312"/>
      <c r="F168" s="312"/>
      <c r="G168" s="312"/>
      <c r="H168" s="312"/>
      <c r="I168" s="312"/>
      <c r="J168" s="312"/>
      <c r="K168" s="312"/>
      <c r="L168" s="312"/>
      <c r="M168" s="312"/>
    </row>
    <row r="169" spans="1:13" x14ac:dyDescent="0.2">
      <c r="A169" s="10"/>
      <c r="B169" s="10"/>
      <c r="C169" s="10"/>
      <c r="E169" s="312"/>
      <c r="F169" s="312"/>
      <c r="G169" s="312"/>
      <c r="H169" s="312"/>
      <c r="I169" s="312"/>
      <c r="J169" s="312"/>
      <c r="K169" s="312"/>
      <c r="L169" s="312"/>
      <c r="M169" s="312"/>
    </row>
    <row r="170" spans="1:13" x14ac:dyDescent="0.2">
      <c r="A170" s="10"/>
      <c r="B170" s="10"/>
      <c r="C170" s="10"/>
      <c r="E170" s="312"/>
      <c r="F170" s="312"/>
      <c r="G170" s="312"/>
      <c r="H170" s="312"/>
      <c r="I170" s="312"/>
      <c r="J170" s="312"/>
      <c r="K170" s="312"/>
      <c r="L170" s="312"/>
      <c r="M170" s="312"/>
    </row>
    <row r="171" spans="1:13" x14ac:dyDescent="0.2">
      <c r="A171" s="10"/>
      <c r="B171" s="10"/>
      <c r="C171" s="10"/>
      <c r="E171" s="312"/>
      <c r="F171" s="312"/>
      <c r="G171" s="312"/>
      <c r="H171" s="312"/>
      <c r="I171" s="312"/>
      <c r="J171" s="312"/>
      <c r="K171" s="312"/>
      <c r="L171" s="312"/>
      <c r="M171" s="312"/>
    </row>
    <row r="172" spans="1:13" x14ac:dyDescent="0.2">
      <c r="A172" s="10"/>
      <c r="B172" s="10"/>
      <c r="C172" s="10"/>
      <c r="E172" s="312"/>
      <c r="F172" s="312"/>
      <c r="G172" s="312"/>
      <c r="H172" s="312"/>
      <c r="I172" s="312"/>
      <c r="J172" s="312"/>
      <c r="K172" s="312"/>
      <c r="L172" s="312"/>
      <c r="M172" s="312"/>
    </row>
    <row r="173" spans="1:13" x14ac:dyDescent="0.2">
      <c r="A173" s="10" t="s">
        <v>91</v>
      </c>
      <c r="B173" s="10"/>
      <c r="C173" s="10"/>
      <c r="E173" s="313">
        <v>99439</v>
      </c>
      <c r="F173" s="313">
        <v>100851</v>
      </c>
      <c r="G173" s="313">
        <v>121986</v>
      </c>
      <c r="H173" s="313">
        <v>119875</v>
      </c>
      <c r="I173" s="313">
        <v>122899</v>
      </c>
      <c r="J173" s="313">
        <v>144263.20159000001</v>
      </c>
      <c r="K173" s="313">
        <v>149043.87181689462</v>
      </c>
      <c r="L173" s="313">
        <v>156008.53476717137</v>
      </c>
      <c r="M173" s="313">
        <v>159790.98929615441</v>
      </c>
    </row>
    <row r="174" spans="1:13" x14ac:dyDescent="0.2">
      <c r="A174" s="10"/>
      <c r="B174" s="10"/>
      <c r="C174" s="10"/>
      <c r="E174" s="312"/>
      <c r="F174" s="312"/>
      <c r="G174" s="312"/>
      <c r="H174" s="312"/>
      <c r="I174" s="312"/>
      <c r="J174" s="312"/>
      <c r="K174" s="312"/>
      <c r="L174" s="312"/>
      <c r="M174" s="312"/>
    </row>
    <row r="175" spans="1:13" x14ac:dyDescent="0.2">
      <c r="A175" s="10" t="s">
        <v>92</v>
      </c>
      <c r="B175" s="10"/>
      <c r="C175" s="10"/>
      <c r="E175" s="313">
        <v>-87</v>
      </c>
      <c r="F175" s="313">
        <v>12834</v>
      </c>
      <c r="G175" s="313">
        <v>-3538</v>
      </c>
      <c r="H175" s="313">
        <v>-2050</v>
      </c>
      <c r="I175" s="313">
        <v>-96</v>
      </c>
      <c r="J175" s="313">
        <v>4780.6702268946137</v>
      </c>
      <c r="K175" s="313">
        <v>6964.662950276761</v>
      </c>
      <c r="L175" s="313">
        <v>3782.4545289830212</v>
      </c>
      <c r="M175" s="313">
        <v>4244.6012303270254</v>
      </c>
    </row>
    <row r="176" spans="1:13" x14ac:dyDescent="0.2">
      <c r="A176" s="10" t="s">
        <v>93</v>
      </c>
      <c r="B176" s="10"/>
      <c r="C176" s="10"/>
      <c r="E176" s="313">
        <v>1690</v>
      </c>
      <c r="F176" s="313">
        <v>8301</v>
      </c>
      <c r="G176" s="313">
        <v>356</v>
      </c>
      <c r="H176" s="313">
        <v>2609</v>
      </c>
      <c r="I176" s="313">
        <v>5505</v>
      </c>
      <c r="J176" s="313">
        <v>0</v>
      </c>
      <c r="K176" s="313">
        <v>0</v>
      </c>
      <c r="L176" s="313">
        <v>0</v>
      </c>
      <c r="M176" s="313">
        <v>0</v>
      </c>
    </row>
    <row r="177" spans="1:13" x14ac:dyDescent="0.2">
      <c r="A177" s="10" t="s">
        <v>94</v>
      </c>
      <c r="B177" s="10"/>
      <c r="C177" s="10"/>
      <c r="E177" s="313">
        <v>0</v>
      </c>
      <c r="F177" s="313">
        <v>0</v>
      </c>
      <c r="G177" s="313">
        <v>0</v>
      </c>
      <c r="H177" s="313">
        <v>858</v>
      </c>
      <c r="I177" s="313">
        <v>1112</v>
      </c>
      <c r="J177" s="313">
        <v>0</v>
      </c>
      <c r="K177" s="313">
        <v>0</v>
      </c>
      <c r="L177" s="313">
        <v>0</v>
      </c>
      <c r="M177" s="313">
        <v>0</v>
      </c>
    </row>
    <row r="178" spans="1:13" x14ac:dyDescent="0.2">
      <c r="A178" s="10" t="s">
        <v>33</v>
      </c>
      <c r="B178" s="10"/>
      <c r="C178" s="10"/>
      <c r="E178" s="313">
        <v>0</v>
      </c>
      <c r="F178" s="313">
        <v>0</v>
      </c>
      <c r="G178" s="313">
        <v>0</v>
      </c>
      <c r="H178" s="313">
        <v>0</v>
      </c>
      <c r="I178" s="313">
        <v>15637</v>
      </c>
      <c r="J178" s="313">
        <v>0</v>
      </c>
      <c r="K178" s="313">
        <v>0</v>
      </c>
      <c r="L178" s="313">
        <v>0</v>
      </c>
      <c r="M178" s="313">
        <v>0</v>
      </c>
    </row>
    <row r="179" spans="1:13" x14ac:dyDescent="0.2">
      <c r="A179" s="10"/>
      <c r="B179" s="10"/>
      <c r="C179" s="10"/>
      <c r="E179" s="312"/>
      <c r="F179" s="312"/>
      <c r="G179" s="312"/>
      <c r="H179" s="312"/>
      <c r="I179" s="312"/>
      <c r="J179" s="312"/>
      <c r="K179" s="312"/>
      <c r="L179" s="312"/>
      <c r="M179" s="312"/>
    </row>
    <row r="180" spans="1:13" ht="15.75" thickBot="1" x14ac:dyDescent="0.25">
      <c r="A180" s="10" t="s">
        <v>95</v>
      </c>
      <c r="B180" s="10"/>
      <c r="C180" s="10"/>
      <c r="E180" s="255">
        <v>101042</v>
      </c>
      <c r="F180" s="255">
        <v>121986</v>
      </c>
      <c r="G180" s="255">
        <v>118804</v>
      </c>
      <c r="H180" s="255">
        <v>121292</v>
      </c>
      <c r="I180" s="255">
        <v>145057</v>
      </c>
      <c r="J180" s="255">
        <v>149043.87181689462</v>
      </c>
      <c r="K180" s="255">
        <v>156008.53476717137</v>
      </c>
      <c r="L180" s="255">
        <v>159790.98929615438</v>
      </c>
      <c r="M180" s="255">
        <v>164035.59052648145</v>
      </c>
    </row>
    <row r="181" spans="1:13" ht="15.75" thickTop="1" x14ac:dyDescent="0.2">
      <c r="A181" s="10" t="s">
        <v>85</v>
      </c>
      <c r="B181" s="10"/>
      <c r="C181" s="10"/>
      <c r="E181" s="305" t="s">
        <v>210</v>
      </c>
      <c r="F181" s="305" t="s">
        <v>210</v>
      </c>
      <c r="G181" s="305" t="s">
        <v>210</v>
      </c>
      <c r="H181" s="305" t="s">
        <v>210</v>
      </c>
      <c r="I181" s="305" t="s">
        <v>210</v>
      </c>
      <c r="J181" s="305" t="s">
        <v>210</v>
      </c>
      <c r="K181" s="305" t="s">
        <v>210</v>
      </c>
      <c r="L181" s="305" t="s">
        <v>210</v>
      </c>
      <c r="M181" s="305" t="s">
        <v>210</v>
      </c>
    </row>
    <row r="182" spans="1:13" x14ac:dyDescent="0.2">
      <c r="A182" s="10"/>
      <c r="B182" s="10"/>
      <c r="C182" s="10"/>
      <c r="E182" s="312"/>
      <c r="F182" s="312"/>
      <c r="G182" s="312"/>
      <c r="H182" s="312"/>
      <c r="I182" s="312"/>
      <c r="J182" s="312"/>
      <c r="K182" s="312"/>
      <c r="L182" s="312"/>
      <c r="M182" s="312"/>
    </row>
    <row r="183" spans="1:13" ht="20.25" x14ac:dyDescent="0.2">
      <c r="A183" s="18" t="s">
        <v>96</v>
      </c>
      <c r="B183" s="21"/>
      <c r="C183" s="10"/>
      <c r="E183" s="312"/>
      <c r="F183" s="312"/>
      <c r="G183" s="312"/>
      <c r="H183" s="312"/>
      <c r="I183" s="312"/>
      <c r="J183" s="312"/>
      <c r="K183" s="312"/>
      <c r="L183" s="312"/>
      <c r="M183" s="312"/>
    </row>
    <row r="184" spans="1:13" x14ac:dyDescent="0.2">
      <c r="A184" s="10"/>
      <c r="B184" s="10"/>
      <c r="C184" s="10"/>
      <c r="E184" s="312"/>
      <c r="F184" s="312"/>
      <c r="G184" s="312"/>
      <c r="H184" s="312"/>
      <c r="I184" s="312"/>
      <c r="J184" s="312"/>
      <c r="K184" s="312"/>
      <c r="L184" s="312"/>
      <c r="M184" s="312"/>
    </row>
    <row r="185" spans="1:13" ht="80.099999999999994" customHeight="1" x14ac:dyDescent="0.2">
      <c r="A185" s="11" t="s">
        <v>1</v>
      </c>
      <c r="B185" s="10"/>
      <c r="C185" s="10"/>
      <c r="E185" s="312"/>
      <c r="F185" s="312"/>
      <c r="G185" s="312"/>
      <c r="H185" s="312"/>
      <c r="I185" s="312"/>
      <c r="J185" s="312"/>
      <c r="K185" s="312"/>
      <c r="L185" s="312"/>
      <c r="M185" s="312"/>
    </row>
    <row r="186" spans="1:13" x14ac:dyDescent="0.2">
      <c r="A186" s="10"/>
      <c r="B186" s="10"/>
      <c r="C186" s="10"/>
      <c r="E186" s="312"/>
      <c r="F186" s="312"/>
      <c r="G186" s="312"/>
      <c r="H186" s="312"/>
      <c r="I186" s="312"/>
      <c r="J186" s="312"/>
      <c r="K186" s="312"/>
      <c r="L186" s="312"/>
      <c r="M186" s="312"/>
    </row>
    <row r="187" spans="1:13" x14ac:dyDescent="0.2">
      <c r="A187" s="10"/>
      <c r="B187" s="10"/>
      <c r="C187" s="10"/>
      <c r="E187" s="312"/>
      <c r="F187" s="312"/>
      <c r="G187" s="312"/>
      <c r="H187" s="312"/>
      <c r="I187" s="312"/>
      <c r="J187" s="312"/>
      <c r="K187" s="312"/>
      <c r="L187" s="312"/>
      <c r="M187" s="312"/>
    </row>
    <row r="188" spans="1:13" x14ac:dyDescent="0.2">
      <c r="A188" s="10"/>
      <c r="B188" s="10"/>
      <c r="C188" s="10"/>
      <c r="E188" s="312"/>
      <c r="F188" s="312"/>
      <c r="G188" s="312"/>
      <c r="H188" s="312"/>
      <c r="I188" s="312"/>
      <c r="J188" s="312"/>
      <c r="K188" s="312"/>
      <c r="L188" s="312"/>
      <c r="M188" s="312"/>
    </row>
    <row r="189" spans="1:13" x14ac:dyDescent="0.2">
      <c r="A189" s="10"/>
      <c r="B189" s="10"/>
      <c r="C189" s="10"/>
      <c r="E189" s="312"/>
      <c r="F189" s="312"/>
      <c r="G189" s="312"/>
      <c r="H189" s="312"/>
      <c r="I189" s="312"/>
      <c r="J189" s="312"/>
      <c r="K189" s="312"/>
      <c r="L189" s="312"/>
      <c r="M189" s="312"/>
    </row>
    <row r="190" spans="1:13" ht="15.75" x14ac:dyDescent="0.2">
      <c r="A190" s="20" t="s">
        <v>97</v>
      </c>
      <c r="B190" s="10"/>
      <c r="C190" s="10"/>
      <c r="E190" s="312"/>
      <c r="F190" s="312"/>
      <c r="G190" s="312"/>
      <c r="H190" s="312"/>
      <c r="I190" s="312"/>
      <c r="J190" s="312"/>
      <c r="K190" s="312"/>
      <c r="L190" s="312"/>
      <c r="M190" s="312"/>
    </row>
    <row r="191" spans="1:13" x14ac:dyDescent="0.2">
      <c r="A191" s="10"/>
      <c r="B191" s="10" t="s">
        <v>98</v>
      </c>
      <c r="C191" s="10"/>
      <c r="E191" s="312"/>
      <c r="F191" s="312"/>
      <c r="G191" s="312"/>
      <c r="H191" s="312"/>
      <c r="I191" s="312"/>
      <c r="J191" s="312"/>
      <c r="K191" s="312"/>
      <c r="L191" s="312"/>
      <c r="M191" s="312"/>
    </row>
    <row r="192" spans="1:13" x14ac:dyDescent="0.2">
      <c r="A192" s="10"/>
      <c r="B192" s="10"/>
      <c r="C192" s="10" t="s">
        <v>99</v>
      </c>
      <c r="E192" s="313">
        <v>56539</v>
      </c>
      <c r="F192" s="313">
        <v>58585</v>
      </c>
      <c r="G192" s="313">
        <v>59067</v>
      </c>
      <c r="H192" s="313">
        <v>69400</v>
      </c>
      <c r="I192" s="313">
        <v>69897</v>
      </c>
      <c r="J192" s="313">
        <v>75757.929759999985</v>
      </c>
      <c r="K192" s="313">
        <v>74765.583214611863</v>
      </c>
      <c r="L192" s="313">
        <v>69065.475362397265</v>
      </c>
      <c r="M192" s="313">
        <v>69805.696245021216</v>
      </c>
    </row>
    <row r="193" spans="1:13" x14ac:dyDescent="0.2">
      <c r="A193" s="10"/>
      <c r="B193" s="10"/>
      <c r="C193" s="10" t="s">
        <v>7</v>
      </c>
      <c r="E193" s="313">
        <v>30458</v>
      </c>
      <c r="F193" s="313">
        <v>29620</v>
      </c>
      <c r="G193" s="313">
        <v>21935</v>
      </c>
      <c r="H193" s="313">
        <v>24376</v>
      </c>
      <c r="I193" s="313">
        <v>24544</v>
      </c>
      <c r="J193" s="313">
        <v>26636.286999999997</v>
      </c>
      <c r="K193" s="313">
        <v>27869.291847314227</v>
      </c>
      <c r="L193" s="313">
        <v>29225.588574585752</v>
      </c>
      <c r="M193" s="313">
        <v>30172.055100363807</v>
      </c>
    </row>
    <row r="194" spans="1:13" x14ac:dyDescent="0.2">
      <c r="A194" s="10"/>
      <c r="B194" s="10"/>
      <c r="C194" s="10" t="s">
        <v>100</v>
      </c>
      <c r="E194" s="313">
        <v>5604</v>
      </c>
      <c r="F194" s="313">
        <v>1977</v>
      </c>
      <c r="G194" s="313">
        <v>8072</v>
      </c>
      <c r="H194" s="313">
        <v>8391</v>
      </c>
      <c r="I194" s="313">
        <v>10135</v>
      </c>
      <c r="J194" s="313">
        <v>6935.7832399999998</v>
      </c>
      <c r="K194" s="313">
        <v>7365.85</v>
      </c>
      <c r="L194" s="313">
        <v>6657.2260000000006</v>
      </c>
      <c r="M194" s="313">
        <v>6616.188259999999</v>
      </c>
    </row>
    <row r="195" spans="1:13" x14ac:dyDescent="0.2">
      <c r="A195" s="10"/>
      <c r="B195" s="10"/>
      <c r="C195" s="10" t="s">
        <v>168</v>
      </c>
      <c r="E195" s="313">
        <v>1573</v>
      </c>
      <c r="F195" s="313">
        <v>1591</v>
      </c>
      <c r="G195" s="313">
        <v>2406</v>
      </c>
      <c r="H195" s="313">
        <v>1253</v>
      </c>
      <c r="I195" s="313">
        <v>1548</v>
      </c>
      <c r="J195" s="313">
        <v>791</v>
      </c>
      <c r="K195" s="313">
        <v>999.7548588256559</v>
      </c>
      <c r="L195" s="313">
        <v>901.22679594045303</v>
      </c>
      <c r="M195" s="313">
        <v>987.39142548568816</v>
      </c>
    </row>
    <row r="196" spans="1:13" x14ac:dyDescent="0.2">
      <c r="A196" s="10"/>
      <c r="B196" s="10"/>
      <c r="C196" s="10" t="s">
        <v>33</v>
      </c>
      <c r="E196" s="313">
        <v>18</v>
      </c>
      <c r="F196" s="313">
        <v>1</v>
      </c>
      <c r="G196" s="313">
        <v>0</v>
      </c>
      <c r="H196" s="313">
        <v>0</v>
      </c>
      <c r="I196" s="313">
        <v>233</v>
      </c>
      <c r="J196" s="313">
        <v>1037</v>
      </c>
      <c r="K196" s="313">
        <v>1044.1100000000001</v>
      </c>
      <c r="L196" s="313">
        <v>1129.2910999999999</v>
      </c>
      <c r="M196" s="313">
        <v>1136.544011</v>
      </c>
    </row>
    <row r="197" spans="1:13" x14ac:dyDescent="0.2">
      <c r="A197" s="10"/>
      <c r="B197" s="10"/>
      <c r="C197" s="12" t="s">
        <v>101</v>
      </c>
      <c r="E197" s="89">
        <v>94192</v>
      </c>
      <c r="F197" s="89">
        <v>91774</v>
      </c>
      <c r="G197" s="89">
        <v>91480</v>
      </c>
      <c r="H197" s="89">
        <v>103420</v>
      </c>
      <c r="I197" s="89">
        <v>106357</v>
      </c>
      <c r="J197" s="89">
        <v>111157.99999999999</v>
      </c>
      <c r="K197" s="89">
        <v>112044.58992075175</v>
      </c>
      <c r="L197" s="89">
        <v>106978.80783292347</v>
      </c>
      <c r="M197" s="89">
        <v>108717.87504187072</v>
      </c>
    </row>
    <row r="198" spans="1:13" x14ac:dyDescent="0.2">
      <c r="A198" s="10"/>
      <c r="B198" s="10" t="s">
        <v>102</v>
      </c>
      <c r="C198" s="10"/>
      <c r="E198" s="312"/>
      <c r="F198" s="312"/>
      <c r="G198" s="312"/>
      <c r="H198" s="312"/>
      <c r="I198" s="312"/>
      <c r="J198" s="312"/>
      <c r="K198" s="312"/>
      <c r="L198" s="312"/>
      <c r="M198" s="312"/>
    </row>
    <row r="199" spans="1:13" x14ac:dyDescent="0.2">
      <c r="A199" s="10"/>
      <c r="B199" s="10"/>
      <c r="C199" s="10" t="s">
        <v>103</v>
      </c>
      <c r="E199" s="313">
        <v>84529</v>
      </c>
      <c r="F199" s="313">
        <v>90769</v>
      </c>
      <c r="G199" s="313">
        <v>88024</v>
      </c>
      <c r="H199" s="313">
        <v>86115</v>
      </c>
      <c r="I199" s="313">
        <v>97896</v>
      </c>
      <c r="J199" s="313">
        <v>72230.795019079989</v>
      </c>
      <c r="K199" s="313">
        <v>73702.747664170834</v>
      </c>
      <c r="L199" s="313">
        <v>71716.261581591563</v>
      </c>
      <c r="M199" s="313">
        <v>72854.630396736378</v>
      </c>
    </row>
    <row r="200" spans="1:13" x14ac:dyDescent="0.2">
      <c r="A200" s="10"/>
      <c r="B200" s="10"/>
      <c r="C200" s="10" t="s">
        <v>104</v>
      </c>
      <c r="E200" s="313">
        <v>-206</v>
      </c>
      <c r="F200" s="313">
        <v>294</v>
      </c>
      <c r="G200" s="313">
        <v>330</v>
      </c>
      <c r="H200" s="313">
        <v>231</v>
      </c>
      <c r="I200" s="313">
        <v>212</v>
      </c>
      <c r="J200" s="313">
        <v>414.96245398539276</v>
      </c>
      <c r="K200" s="313">
        <v>580.0575</v>
      </c>
      <c r="L200" s="313">
        <v>117.19542589890656</v>
      </c>
      <c r="M200" s="313">
        <v>-146.62666666666667</v>
      </c>
    </row>
    <row r="201" spans="1:13" x14ac:dyDescent="0.2">
      <c r="A201" s="10"/>
      <c r="B201" s="10"/>
      <c r="C201" s="10" t="s">
        <v>105</v>
      </c>
      <c r="E201" s="313">
        <v>184</v>
      </c>
      <c r="F201" s="313">
        <v>207</v>
      </c>
      <c r="G201" s="313">
        <v>780</v>
      </c>
      <c r="H201" s="313">
        <v>94</v>
      </c>
      <c r="I201" s="313">
        <v>0</v>
      </c>
      <c r="J201" s="313">
        <v>92</v>
      </c>
      <c r="K201" s="313">
        <v>0</v>
      </c>
      <c r="L201" s="313">
        <v>0</v>
      </c>
      <c r="M201" s="313">
        <v>0</v>
      </c>
    </row>
    <row r="202" spans="1:13" x14ac:dyDescent="0.2">
      <c r="A202" s="10"/>
      <c r="B202" s="10"/>
      <c r="C202" s="10" t="s">
        <v>33</v>
      </c>
      <c r="E202" s="313">
        <v>0</v>
      </c>
      <c r="F202" s="313">
        <v>0</v>
      </c>
      <c r="G202" s="313">
        <v>0</v>
      </c>
      <c r="H202" s="313">
        <v>0</v>
      </c>
      <c r="I202" s="313">
        <v>0</v>
      </c>
      <c r="J202" s="313">
        <v>22609.204980920003</v>
      </c>
      <c r="K202" s="313">
        <v>23487.037806199987</v>
      </c>
      <c r="L202" s="313">
        <v>22176.772996199979</v>
      </c>
      <c r="M202" s="313">
        <v>22422.146781223986</v>
      </c>
    </row>
    <row r="203" spans="1:13" x14ac:dyDescent="0.2">
      <c r="A203" s="10"/>
      <c r="B203" s="10"/>
      <c r="C203" s="12" t="s">
        <v>101</v>
      </c>
      <c r="E203" s="89">
        <v>84507</v>
      </c>
      <c r="F203" s="89">
        <v>91270</v>
      </c>
      <c r="G203" s="89">
        <v>89134</v>
      </c>
      <c r="H203" s="89">
        <v>86440</v>
      </c>
      <c r="I203" s="89">
        <v>98108</v>
      </c>
      <c r="J203" s="89">
        <v>95346.962453985383</v>
      </c>
      <c r="K203" s="89">
        <v>97769.84297037081</v>
      </c>
      <c r="L203" s="89">
        <v>94010.230003690463</v>
      </c>
      <c r="M203" s="89">
        <v>95130.150511293701</v>
      </c>
    </row>
    <row r="204" spans="1:13" x14ac:dyDescent="0.2">
      <c r="A204" s="10"/>
      <c r="B204" s="10"/>
      <c r="C204" s="12"/>
      <c r="E204" s="308"/>
      <c r="F204" s="308"/>
      <c r="G204" s="308"/>
      <c r="H204" s="308"/>
      <c r="I204" s="308"/>
      <c r="J204" s="308"/>
      <c r="K204" s="308"/>
      <c r="L204" s="308"/>
      <c r="M204" s="308"/>
    </row>
    <row r="205" spans="1:13" x14ac:dyDescent="0.2">
      <c r="A205" s="10"/>
      <c r="B205" s="21" t="s">
        <v>106</v>
      </c>
      <c r="C205" s="10"/>
      <c r="E205" s="309">
        <v>9685</v>
      </c>
      <c r="F205" s="309">
        <v>504</v>
      </c>
      <c r="G205" s="309">
        <v>2346</v>
      </c>
      <c r="H205" s="309">
        <v>16980</v>
      </c>
      <c r="I205" s="309">
        <v>8249</v>
      </c>
      <c r="J205" s="309">
        <v>15811.037546014602</v>
      </c>
      <c r="K205" s="309">
        <v>14274.746950380941</v>
      </c>
      <c r="L205" s="309">
        <v>12968.577829233007</v>
      </c>
      <c r="M205" s="309">
        <v>13587.724530577019</v>
      </c>
    </row>
    <row r="206" spans="1:13" x14ac:dyDescent="0.2">
      <c r="A206" s="10"/>
      <c r="B206" s="10"/>
      <c r="C206" s="10"/>
      <c r="E206" s="312"/>
      <c r="F206" s="312"/>
      <c r="G206" s="312"/>
      <c r="H206" s="312"/>
      <c r="I206" s="312"/>
      <c r="J206" s="312"/>
      <c r="K206" s="312"/>
      <c r="L206" s="312"/>
      <c r="M206" s="312"/>
    </row>
    <row r="207" spans="1:13" ht="15.75" x14ac:dyDescent="0.2">
      <c r="A207" s="20" t="s">
        <v>107</v>
      </c>
      <c r="B207" s="10"/>
      <c r="C207" s="10"/>
      <c r="E207" s="312"/>
      <c r="F207" s="312"/>
      <c r="G207" s="312"/>
      <c r="H207" s="312"/>
      <c r="I207" s="312"/>
      <c r="J207" s="312"/>
      <c r="K207" s="312"/>
      <c r="L207" s="312"/>
      <c r="M207" s="312"/>
    </row>
    <row r="208" spans="1:13" x14ac:dyDescent="0.2">
      <c r="A208" s="10"/>
      <c r="B208" s="10" t="s">
        <v>98</v>
      </c>
      <c r="C208" s="10"/>
      <c r="E208" s="312"/>
      <c r="F208" s="312"/>
      <c r="G208" s="312"/>
      <c r="H208" s="312"/>
      <c r="I208" s="312"/>
      <c r="J208" s="312"/>
      <c r="K208" s="312"/>
      <c r="L208" s="312"/>
      <c r="M208" s="312"/>
    </row>
    <row r="209" spans="1:13" x14ac:dyDescent="0.2">
      <c r="A209" s="10"/>
      <c r="B209" s="10"/>
      <c r="C209" s="10" t="s">
        <v>505</v>
      </c>
      <c r="E209" s="313">
        <v>40</v>
      </c>
      <c r="F209" s="313">
        <v>539</v>
      </c>
      <c r="G209" s="313">
        <v>104</v>
      </c>
      <c r="H209" s="313">
        <v>841</v>
      </c>
      <c r="I209" s="313">
        <v>242</v>
      </c>
      <c r="J209" s="313">
        <v>5005</v>
      </c>
      <c r="K209" s="313">
        <v>4500</v>
      </c>
      <c r="L209" s="313">
        <v>0</v>
      </c>
      <c r="M209" s="313">
        <v>0</v>
      </c>
    </row>
    <row r="210" spans="1:13" x14ac:dyDescent="0.2">
      <c r="A210" s="10"/>
      <c r="B210" s="10"/>
      <c r="C210" s="10" t="s">
        <v>108</v>
      </c>
      <c r="E210" s="313">
        <v>0</v>
      </c>
      <c r="F210" s="313">
        <v>496</v>
      </c>
      <c r="G210" s="313">
        <v>0</v>
      </c>
      <c r="H210" s="313">
        <v>0</v>
      </c>
      <c r="I210" s="313">
        <v>0</v>
      </c>
      <c r="J210" s="313">
        <v>287</v>
      </c>
      <c r="K210" s="313">
        <v>0</v>
      </c>
      <c r="L210" s="313">
        <v>142</v>
      </c>
      <c r="M210" s="313">
        <v>201</v>
      </c>
    </row>
    <row r="211" spans="1:13" x14ac:dyDescent="0.2">
      <c r="A211" s="10"/>
      <c r="B211" s="10"/>
      <c r="C211" s="10" t="s">
        <v>33</v>
      </c>
      <c r="E211" s="313">
        <v>0</v>
      </c>
      <c r="F211" s="313">
        <v>0</v>
      </c>
      <c r="G211" s="313">
        <v>0</v>
      </c>
      <c r="H211" s="313">
        <v>4</v>
      </c>
      <c r="I211" s="313">
        <v>0</v>
      </c>
      <c r="J211" s="313">
        <v>0</v>
      </c>
      <c r="K211" s="313">
        <v>0</v>
      </c>
      <c r="L211" s="313">
        <v>0</v>
      </c>
      <c r="M211" s="313">
        <v>0</v>
      </c>
    </row>
    <row r="212" spans="1:13" x14ac:dyDescent="0.2">
      <c r="A212" s="10"/>
      <c r="B212" s="10"/>
      <c r="C212" s="12" t="s">
        <v>101</v>
      </c>
      <c r="E212" s="89">
        <v>40</v>
      </c>
      <c r="F212" s="89">
        <v>1035</v>
      </c>
      <c r="G212" s="89">
        <v>104</v>
      </c>
      <c r="H212" s="89">
        <v>845</v>
      </c>
      <c r="I212" s="89">
        <v>242</v>
      </c>
      <c r="J212" s="89">
        <v>5292</v>
      </c>
      <c r="K212" s="89">
        <v>4500</v>
      </c>
      <c r="L212" s="89">
        <v>142</v>
      </c>
      <c r="M212" s="89">
        <v>201</v>
      </c>
    </row>
    <row r="213" spans="1:13" x14ac:dyDescent="0.2">
      <c r="A213" s="10"/>
      <c r="B213" s="10" t="s">
        <v>102</v>
      </c>
      <c r="C213" s="10"/>
      <c r="E213" s="312"/>
      <c r="F213" s="312"/>
      <c r="G213" s="312"/>
      <c r="H213" s="312"/>
      <c r="I213" s="312"/>
      <c r="J213" s="312"/>
      <c r="K213" s="312"/>
      <c r="L213" s="312"/>
      <c r="M213" s="312"/>
    </row>
    <row r="214" spans="1:13" x14ac:dyDescent="0.2">
      <c r="A214" s="10"/>
      <c r="B214" s="10"/>
      <c r="C214" s="10" t="s">
        <v>506</v>
      </c>
      <c r="E214" s="313">
        <v>8511</v>
      </c>
      <c r="F214" s="313">
        <v>6295</v>
      </c>
      <c r="G214" s="313">
        <v>12331</v>
      </c>
      <c r="H214" s="313">
        <v>19459</v>
      </c>
      <c r="I214" s="313">
        <v>14001</v>
      </c>
      <c r="J214" s="313">
        <v>15818</v>
      </c>
      <c r="K214" s="313">
        <v>22468.932000000004</v>
      </c>
      <c r="L214" s="313">
        <v>7054</v>
      </c>
      <c r="M214" s="313">
        <v>7046</v>
      </c>
    </row>
    <row r="215" spans="1:13" x14ac:dyDescent="0.2">
      <c r="A215" s="10"/>
      <c r="B215" s="10"/>
      <c r="C215" s="10" t="s">
        <v>109</v>
      </c>
      <c r="E215" s="313">
        <v>172</v>
      </c>
      <c r="F215" s="313">
        <v>72</v>
      </c>
      <c r="G215" s="313">
        <v>68</v>
      </c>
      <c r="H215" s="313">
        <v>546</v>
      </c>
      <c r="I215" s="313">
        <v>0</v>
      </c>
      <c r="J215" s="313">
        <v>0</v>
      </c>
      <c r="K215" s="313">
        <v>0</v>
      </c>
      <c r="L215" s="313">
        <v>0</v>
      </c>
      <c r="M215" s="313">
        <v>0</v>
      </c>
    </row>
    <row r="216" spans="1:13" x14ac:dyDescent="0.2">
      <c r="A216" s="10"/>
      <c r="B216" s="10"/>
      <c r="C216" s="10" t="s">
        <v>110</v>
      </c>
      <c r="E216" s="313">
        <v>2458</v>
      </c>
      <c r="F216" s="313">
        <v>0</v>
      </c>
      <c r="G216" s="313">
        <v>3118</v>
      </c>
      <c r="H216" s="313">
        <v>1885</v>
      </c>
      <c r="I216" s="313">
        <v>511</v>
      </c>
      <c r="J216" s="313">
        <v>0</v>
      </c>
      <c r="K216" s="313">
        <v>622</v>
      </c>
      <c r="L216" s="313">
        <v>0</v>
      </c>
      <c r="M216" s="313">
        <v>0</v>
      </c>
    </row>
    <row r="217" spans="1:13" x14ac:dyDescent="0.2">
      <c r="A217" s="10"/>
      <c r="B217" s="10"/>
      <c r="C217" s="10" t="s">
        <v>33</v>
      </c>
      <c r="E217" s="313">
        <v>0</v>
      </c>
      <c r="F217" s="313">
        <v>0</v>
      </c>
      <c r="G217" s="313">
        <v>0</v>
      </c>
      <c r="H217" s="313">
        <v>0</v>
      </c>
      <c r="I217" s="313">
        <v>0</v>
      </c>
      <c r="J217" s="313">
        <v>0</v>
      </c>
      <c r="K217" s="313">
        <v>0</v>
      </c>
      <c r="L217" s="313">
        <v>0</v>
      </c>
      <c r="M217" s="313">
        <v>0</v>
      </c>
    </row>
    <row r="218" spans="1:13" x14ac:dyDescent="0.2">
      <c r="A218" s="10"/>
      <c r="B218" s="10"/>
      <c r="C218" s="12" t="s">
        <v>101</v>
      </c>
      <c r="E218" s="89">
        <v>11141</v>
      </c>
      <c r="F218" s="89">
        <v>6367</v>
      </c>
      <c r="G218" s="89">
        <v>15517</v>
      </c>
      <c r="H218" s="89">
        <v>21890</v>
      </c>
      <c r="I218" s="89">
        <v>14512</v>
      </c>
      <c r="J218" s="89">
        <v>15818</v>
      </c>
      <c r="K218" s="89">
        <v>23090.932000000004</v>
      </c>
      <c r="L218" s="89">
        <v>7054</v>
      </c>
      <c r="M218" s="89">
        <v>7046</v>
      </c>
    </row>
    <row r="219" spans="1:13" x14ac:dyDescent="0.2">
      <c r="A219" s="10"/>
      <c r="B219" s="10"/>
      <c r="C219" s="12"/>
      <c r="E219" s="308"/>
      <c r="F219" s="308"/>
      <c r="G219" s="308"/>
      <c r="H219" s="308"/>
      <c r="I219" s="308"/>
      <c r="J219" s="308"/>
      <c r="K219" s="308"/>
      <c r="L219" s="308"/>
      <c r="M219" s="308"/>
    </row>
    <row r="220" spans="1:13" x14ac:dyDescent="0.2">
      <c r="A220" s="10"/>
      <c r="B220" s="21" t="s">
        <v>111</v>
      </c>
      <c r="C220" s="10"/>
      <c r="E220" s="309">
        <v>-11101</v>
      </c>
      <c r="F220" s="309">
        <v>-5332</v>
      </c>
      <c r="G220" s="309">
        <v>-15413</v>
      </c>
      <c r="H220" s="309">
        <v>-21045</v>
      </c>
      <c r="I220" s="309">
        <v>-14270</v>
      </c>
      <c r="J220" s="309">
        <v>-10526</v>
      </c>
      <c r="K220" s="309">
        <v>-18590.932000000004</v>
      </c>
      <c r="L220" s="309">
        <v>-6912</v>
      </c>
      <c r="M220" s="309">
        <v>-6845</v>
      </c>
    </row>
    <row r="221" spans="1:13" x14ac:dyDescent="0.2">
      <c r="A221" s="10"/>
      <c r="B221" s="10"/>
      <c r="C221" s="10"/>
      <c r="E221" s="312"/>
      <c r="F221" s="312"/>
      <c r="G221" s="312"/>
      <c r="H221" s="312"/>
      <c r="I221" s="312"/>
      <c r="J221" s="312"/>
      <c r="K221" s="312"/>
      <c r="L221" s="312"/>
      <c r="M221" s="312"/>
    </row>
    <row r="222" spans="1:13" ht="15.75" x14ac:dyDescent="0.2">
      <c r="A222" s="20" t="s">
        <v>112</v>
      </c>
      <c r="B222" s="10"/>
      <c r="C222" s="10"/>
      <c r="E222" s="312"/>
      <c r="F222" s="312"/>
      <c r="G222" s="312"/>
      <c r="H222" s="312"/>
      <c r="I222" s="312"/>
      <c r="J222" s="312"/>
      <c r="K222" s="312"/>
      <c r="L222" s="312"/>
      <c r="M222" s="312"/>
    </row>
    <row r="223" spans="1:13" x14ac:dyDescent="0.2">
      <c r="A223" s="10"/>
      <c r="B223" s="10" t="s">
        <v>98</v>
      </c>
      <c r="C223" s="10"/>
      <c r="E223" s="312"/>
      <c r="F223" s="312"/>
      <c r="G223" s="312"/>
      <c r="H223" s="312"/>
      <c r="I223" s="312"/>
      <c r="J223" s="312"/>
      <c r="K223" s="312"/>
      <c r="L223" s="312"/>
      <c r="M223" s="312"/>
    </row>
    <row r="224" spans="1:13" x14ac:dyDescent="0.2">
      <c r="A224" s="10"/>
      <c r="B224" s="10"/>
      <c r="C224" s="10" t="s">
        <v>113</v>
      </c>
      <c r="E224" s="313">
        <v>1750</v>
      </c>
      <c r="F224" s="313">
        <v>3550</v>
      </c>
      <c r="G224" s="313">
        <v>4524</v>
      </c>
      <c r="H224" s="313">
        <v>5350</v>
      </c>
      <c r="I224" s="313">
        <v>3300</v>
      </c>
      <c r="J224" s="313">
        <v>0</v>
      </c>
      <c r="K224" s="313">
        <v>4809.1850496190746</v>
      </c>
      <c r="L224" s="313">
        <v>0</v>
      </c>
      <c r="M224" s="313">
        <v>0</v>
      </c>
    </row>
    <row r="225" spans="1:13" x14ac:dyDescent="0.2">
      <c r="A225" s="10"/>
      <c r="B225" s="10"/>
      <c r="C225" s="10" t="s">
        <v>507</v>
      </c>
      <c r="E225" s="313">
        <v>0</v>
      </c>
      <c r="F225" s="313">
        <v>0</v>
      </c>
      <c r="G225" s="313">
        <v>0</v>
      </c>
      <c r="H225" s="313">
        <v>858</v>
      </c>
      <c r="I225" s="313">
        <v>0</v>
      </c>
      <c r="J225" s="313">
        <v>0</v>
      </c>
      <c r="K225" s="313">
        <v>0</v>
      </c>
      <c r="L225" s="313">
        <v>0</v>
      </c>
      <c r="M225" s="313">
        <v>0</v>
      </c>
    </row>
    <row r="226" spans="1:13" x14ac:dyDescent="0.2">
      <c r="A226" s="10"/>
      <c r="B226" s="10"/>
      <c r="C226" s="10" t="s">
        <v>79</v>
      </c>
      <c r="E226" s="313">
        <v>0</v>
      </c>
      <c r="F226" s="313">
        <v>0</v>
      </c>
      <c r="G226" s="313">
        <v>0</v>
      </c>
      <c r="H226" s="313">
        <v>0</v>
      </c>
      <c r="I226" s="313">
        <v>727</v>
      </c>
      <c r="J226" s="313">
        <v>0</v>
      </c>
      <c r="K226" s="313">
        <v>0</v>
      </c>
      <c r="L226" s="313">
        <v>0</v>
      </c>
      <c r="M226" s="313">
        <v>0</v>
      </c>
    </row>
    <row r="227" spans="1:13" x14ac:dyDescent="0.2">
      <c r="A227" s="10"/>
      <c r="B227" s="10"/>
      <c r="C227" s="12" t="s">
        <v>101</v>
      </c>
      <c r="E227" s="89">
        <v>1750</v>
      </c>
      <c r="F227" s="89">
        <v>3550</v>
      </c>
      <c r="G227" s="89">
        <v>4524</v>
      </c>
      <c r="H227" s="89">
        <v>6208</v>
      </c>
      <c r="I227" s="89">
        <v>4027</v>
      </c>
      <c r="J227" s="89">
        <v>0</v>
      </c>
      <c r="K227" s="89">
        <v>4809.1850496190746</v>
      </c>
      <c r="L227" s="89">
        <v>0</v>
      </c>
      <c r="M227" s="89">
        <v>0</v>
      </c>
    </row>
    <row r="228" spans="1:13" x14ac:dyDescent="0.2">
      <c r="A228" s="10"/>
      <c r="B228" s="10" t="s">
        <v>102</v>
      </c>
      <c r="C228" s="10"/>
      <c r="E228" s="312"/>
      <c r="F228" s="312"/>
      <c r="G228" s="312"/>
      <c r="H228" s="312"/>
      <c r="I228" s="312"/>
      <c r="J228" s="312"/>
      <c r="K228" s="312"/>
      <c r="L228" s="312"/>
      <c r="M228" s="312"/>
    </row>
    <row r="229" spans="1:13" x14ac:dyDescent="0.2">
      <c r="A229" s="10"/>
      <c r="B229" s="10"/>
      <c r="C229" s="10" t="s">
        <v>114</v>
      </c>
      <c r="E229" s="313">
        <v>275</v>
      </c>
      <c r="F229" s="313">
        <v>330</v>
      </c>
      <c r="G229" s="313">
        <v>336</v>
      </c>
      <c r="H229" s="313">
        <v>332</v>
      </c>
      <c r="I229" s="313">
        <v>297</v>
      </c>
      <c r="J229" s="313">
        <v>2145</v>
      </c>
      <c r="K229" s="313">
        <v>3339</v>
      </c>
      <c r="L229" s="313">
        <v>4824.1850496190755</v>
      </c>
      <c r="M229" s="313">
        <v>0</v>
      </c>
    </row>
    <row r="230" spans="1:13" x14ac:dyDescent="0.2">
      <c r="A230" s="10"/>
      <c r="B230" s="10"/>
      <c r="C230" s="10" t="s">
        <v>33</v>
      </c>
      <c r="E230" s="313">
        <v>0</v>
      </c>
      <c r="F230" s="313">
        <v>0</v>
      </c>
      <c r="G230" s="313">
        <v>0</v>
      </c>
      <c r="H230" s="313">
        <v>0</v>
      </c>
      <c r="I230" s="313">
        <v>0</v>
      </c>
      <c r="J230" s="313">
        <v>0</v>
      </c>
      <c r="K230" s="313">
        <v>0</v>
      </c>
      <c r="L230" s="313">
        <v>0</v>
      </c>
      <c r="M230" s="313">
        <v>0</v>
      </c>
    </row>
    <row r="231" spans="1:13" x14ac:dyDescent="0.2">
      <c r="A231" s="10"/>
      <c r="B231" s="10"/>
      <c r="C231" s="12" t="s">
        <v>101</v>
      </c>
      <c r="E231" s="89">
        <v>275</v>
      </c>
      <c r="F231" s="89">
        <v>330</v>
      </c>
      <c r="G231" s="89">
        <v>336</v>
      </c>
      <c r="H231" s="89">
        <v>332</v>
      </c>
      <c r="I231" s="89">
        <v>297</v>
      </c>
      <c r="J231" s="89">
        <v>2145</v>
      </c>
      <c r="K231" s="89">
        <v>3339</v>
      </c>
      <c r="L231" s="89">
        <v>4824.1850496190755</v>
      </c>
      <c r="M231" s="89">
        <v>0</v>
      </c>
    </row>
    <row r="232" spans="1:13" x14ac:dyDescent="0.2">
      <c r="A232" s="10"/>
      <c r="B232" s="10"/>
      <c r="C232" s="12"/>
      <c r="E232" s="308"/>
      <c r="F232" s="308"/>
      <c r="G232" s="308"/>
      <c r="H232" s="308"/>
      <c r="I232" s="308"/>
      <c r="J232" s="308"/>
      <c r="K232" s="308"/>
      <c r="L232" s="308"/>
      <c r="M232" s="308"/>
    </row>
    <row r="233" spans="1:13" x14ac:dyDescent="0.2">
      <c r="A233" s="10"/>
      <c r="B233" s="21" t="s">
        <v>115</v>
      </c>
      <c r="C233" s="10"/>
      <c r="E233" s="309">
        <v>1475</v>
      </c>
      <c r="F233" s="309">
        <v>3220</v>
      </c>
      <c r="G233" s="309">
        <v>4188</v>
      </c>
      <c r="H233" s="309">
        <v>5876</v>
      </c>
      <c r="I233" s="309">
        <v>3730</v>
      </c>
      <c r="J233" s="309">
        <v>-2145</v>
      </c>
      <c r="K233" s="309">
        <v>1470.1850496190746</v>
      </c>
      <c r="L233" s="309">
        <v>-4824.1850496190755</v>
      </c>
      <c r="M233" s="309">
        <v>0</v>
      </c>
    </row>
    <row r="234" spans="1:13" x14ac:dyDescent="0.2">
      <c r="A234" s="10"/>
      <c r="B234" s="10"/>
      <c r="C234" s="10"/>
      <c r="E234" s="312"/>
      <c r="F234" s="312"/>
      <c r="G234" s="312"/>
      <c r="H234" s="312"/>
      <c r="I234" s="312"/>
      <c r="J234" s="312"/>
      <c r="K234" s="312"/>
      <c r="L234" s="312"/>
      <c r="M234" s="312"/>
    </row>
    <row r="235" spans="1:13" x14ac:dyDescent="0.2">
      <c r="A235" s="10" t="s">
        <v>116</v>
      </c>
      <c r="B235" s="10"/>
      <c r="C235" s="10"/>
      <c r="E235" s="312"/>
      <c r="F235" s="312"/>
      <c r="G235" s="312"/>
      <c r="H235" s="312"/>
      <c r="I235" s="312"/>
      <c r="J235" s="312"/>
      <c r="K235" s="312"/>
      <c r="L235" s="312"/>
      <c r="M235" s="312"/>
    </row>
    <row r="236" spans="1:13" x14ac:dyDescent="0.2">
      <c r="A236" s="10"/>
      <c r="B236" s="10"/>
      <c r="C236" s="10"/>
      <c r="E236" s="312"/>
      <c r="F236" s="312"/>
      <c r="G236" s="312"/>
      <c r="H236" s="312"/>
      <c r="I236" s="312"/>
      <c r="J236" s="312"/>
      <c r="K236" s="312"/>
      <c r="L236" s="312"/>
      <c r="M236" s="312"/>
    </row>
    <row r="237" spans="1:13" x14ac:dyDescent="0.2">
      <c r="A237" s="10" t="s">
        <v>508</v>
      </c>
      <c r="B237" s="10"/>
      <c r="C237" s="10"/>
      <c r="E237" s="313">
        <v>14567</v>
      </c>
      <c r="F237" s="313">
        <v>14580</v>
      </c>
      <c r="G237" s="313">
        <v>13016</v>
      </c>
      <c r="H237" s="313">
        <v>4137</v>
      </c>
      <c r="I237" s="313">
        <v>5185</v>
      </c>
      <c r="J237" s="313">
        <v>2741.9999999999909</v>
      </c>
      <c r="K237" s="313">
        <v>5882.0375460145924</v>
      </c>
      <c r="L237" s="313">
        <v>3036.037546014592</v>
      </c>
      <c r="M237" s="313">
        <v>4268.4303256285411</v>
      </c>
    </row>
    <row r="238" spans="1:13" x14ac:dyDescent="0.2">
      <c r="A238" s="10"/>
      <c r="B238" s="10"/>
      <c r="C238" s="10"/>
      <c r="E238" s="312"/>
      <c r="F238" s="312"/>
      <c r="G238" s="312"/>
      <c r="H238" s="312"/>
      <c r="I238" s="312"/>
      <c r="J238" s="312"/>
      <c r="K238" s="312"/>
      <c r="L238" s="312"/>
      <c r="M238" s="312"/>
    </row>
    <row r="239" spans="1:13" ht="15.75" thickBot="1" x14ac:dyDescent="0.25">
      <c r="A239" s="10" t="s">
        <v>509</v>
      </c>
      <c r="B239" s="10"/>
      <c r="C239" s="10"/>
      <c r="E239" s="254">
        <v>14567</v>
      </c>
      <c r="F239" s="254">
        <v>14580</v>
      </c>
      <c r="G239" s="254">
        <v>13016</v>
      </c>
      <c r="H239" s="254">
        <v>4137</v>
      </c>
      <c r="I239" s="254">
        <v>5185</v>
      </c>
      <c r="J239" s="254">
        <v>2741.9999999999909</v>
      </c>
      <c r="K239" s="254">
        <v>5882.0375460145924</v>
      </c>
      <c r="L239" s="254">
        <v>3036.037546014592</v>
      </c>
      <c r="M239" s="254">
        <v>4268.4303256285411</v>
      </c>
    </row>
    <row r="240" spans="1:13" ht="15.75" thickTop="1" x14ac:dyDescent="0.2">
      <c r="A240" s="10"/>
      <c r="B240" s="10"/>
      <c r="C240" s="10"/>
      <c r="E240" s="312"/>
      <c r="F240" s="312"/>
      <c r="G240" s="312"/>
      <c r="H240" s="312"/>
      <c r="I240" s="312"/>
      <c r="J240" s="312"/>
      <c r="K240" s="312"/>
      <c r="L240" s="312"/>
      <c r="M240" s="312"/>
    </row>
    <row r="241" spans="1:13" x14ac:dyDescent="0.2">
      <c r="A241" s="10"/>
      <c r="B241" s="10"/>
      <c r="C241" s="10"/>
      <c r="E241" s="312"/>
      <c r="F241" s="312"/>
      <c r="G241" s="312"/>
      <c r="H241" s="312"/>
      <c r="I241" s="312"/>
      <c r="J241" s="312"/>
      <c r="K241" s="312"/>
      <c r="L241" s="312"/>
      <c r="M241" s="312"/>
    </row>
    <row r="242" spans="1:13" x14ac:dyDescent="0.2">
      <c r="A242" s="10" t="s">
        <v>510</v>
      </c>
      <c r="B242" s="10"/>
      <c r="C242" s="10"/>
      <c r="E242" s="313">
        <v>0</v>
      </c>
      <c r="F242" s="313">
        <v>0</v>
      </c>
      <c r="G242" s="313">
        <v>0</v>
      </c>
      <c r="H242" s="313">
        <v>0</v>
      </c>
      <c r="I242" s="313">
        <v>0</v>
      </c>
      <c r="J242" s="313">
        <v>0</v>
      </c>
      <c r="K242" s="313">
        <v>0</v>
      </c>
      <c r="L242" s="313">
        <v>0</v>
      </c>
      <c r="M242" s="313">
        <v>0</v>
      </c>
    </row>
    <row r="243" spans="1:13" x14ac:dyDescent="0.2">
      <c r="A243" s="10"/>
      <c r="B243" s="10"/>
      <c r="C243" s="10"/>
      <c r="E243" s="312"/>
      <c r="F243" s="312"/>
      <c r="G243" s="312"/>
      <c r="H243" s="312"/>
      <c r="I243" s="312"/>
      <c r="J243" s="312"/>
      <c r="K243" s="312"/>
      <c r="L243" s="312"/>
      <c r="M243" s="312"/>
    </row>
    <row r="244" spans="1:13" ht="15.75" thickBot="1" x14ac:dyDescent="0.25">
      <c r="A244" s="10" t="s">
        <v>117</v>
      </c>
      <c r="B244" s="10"/>
      <c r="C244" s="10"/>
      <c r="E244" s="254">
        <v>14567</v>
      </c>
      <c r="F244" s="254">
        <v>14580</v>
      </c>
      <c r="G244" s="254">
        <v>13016</v>
      </c>
      <c r="H244" s="254">
        <v>4137</v>
      </c>
      <c r="I244" s="254">
        <v>5185</v>
      </c>
      <c r="J244" s="254">
        <v>2741.9999999999909</v>
      </c>
      <c r="K244" s="254">
        <v>5882.0375460145924</v>
      </c>
      <c r="L244" s="254">
        <v>3036.037546014592</v>
      </c>
      <c r="M244" s="254">
        <v>4268.4303256285411</v>
      </c>
    </row>
    <row r="245" spans="1:13" ht="15.75" thickTop="1" x14ac:dyDescent="0.2">
      <c r="A245" s="10"/>
      <c r="B245" s="10"/>
      <c r="C245" s="10"/>
      <c r="E245" s="312"/>
      <c r="F245" s="312"/>
      <c r="G245" s="312"/>
      <c r="H245" s="312"/>
      <c r="I245" s="312"/>
      <c r="J245" s="312"/>
      <c r="K245" s="312"/>
      <c r="L245" s="312"/>
      <c r="M245" s="312"/>
    </row>
    <row r="246" spans="1:13" x14ac:dyDescent="0.2">
      <c r="A246" s="10"/>
      <c r="B246" s="10"/>
      <c r="C246" s="10"/>
      <c r="E246" s="312"/>
      <c r="F246" s="312"/>
      <c r="G246" s="312"/>
      <c r="H246" s="312"/>
      <c r="I246" s="312"/>
      <c r="J246" s="312"/>
      <c r="K246" s="312"/>
      <c r="L246" s="312"/>
      <c r="M246" s="312"/>
    </row>
    <row r="247" spans="1:13" ht="20.25" x14ac:dyDescent="0.2">
      <c r="A247" s="18" t="s">
        <v>118</v>
      </c>
      <c r="B247" s="10"/>
      <c r="C247" s="10"/>
      <c r="E247" s="312"/>
      <c r="F247" s="312"/>
      <c r="G247" s="312"/>
      <c r="H247" s="312"/>
      <c r="I247" s="312"/>
      <c r="J247" s="312"/>
      <c r="K247" s="312"/>
      <c r="L247" s="312"/>
      <c r="M247" s="312"/>
    </row>
    <row r="248" spans="1:13" ht="20.25" x14ac:dyDescent="0.2">
      <c r="A248" s="18"/>
      <c r="B248" s="10"/>
      <c r="C248" s="10"/>
      <c r="E248" s="312"/>
      <c r="F248" s="312"/>
      <c r="G248" s="312"/>
      <c r="H248" s="312"/>
      <c r="I248" s="312"/>
      <c r="J248" s="312"/>
      <c r="K248" s="312"/>
      <c r="L248" s="312"/>
      <c r="M248" s="312"/>
    </row>
    <row r="249" spans="1:13" ht="80.099999999999994" customHeight="1" x14ac:dyDescent="0.2">
      <c r="A249" s="11" t="s">
        <v>1</v>
      </c>
      <c r="B249" s="10"/>
      <c r="C249" s="10"/>
      <c r="E249" s="312"/>
      <c r="F249" s="312"/>
      <c r="G249" s="312"/>
      <c r="H249" s="312"/>
      <c r="I249" s="312"/>
      <c r="J249" s="312"/>
      <c r="K249" s="312"/>
      <c r="L249" s="312"/>
      <c r="M249" s="312"/>
    </row>
    <row r="250" spans="1:13" x14ac:dyDescent="0.2">
      <c r="A250" s="10"/>
      <c r="B250" s="10"/>
      <c r="C250" s="10"/>
      <c r="E250" s="312"/>
      <c r="F250" s="312"/>
      <c r="G250" s="312"/>
      <c r="H250" s="312"/>
      <c r="I250" s="312"/>
      <c r="J250" s="312"/>
      <c r="K250" s="312"/>
      <c r="L250" s="312"/>
      <c r="M250" s="312"/>
    </row>
    <row r="251" spans="1:13" x14ac:dyDescent="0.2">
      <c r="A251" s="10"/>
      <c r="B251" s="10"/>
      <c r="C251" s="10"/>
      <c r="E251" s="312"/>
      <c r="F251" s="312"/>
      <c r="G251" s="312"/>
      <c r="H251" s="312"/>
      <c r="I251" s="312"/>
      <c r="J251" s="312"/>
      <c r="K251" s="312"/>
      <c r="L251" s="312"/>
      <c r="M251" s="312"/>
    </row>
    <row r="252" spans="1:13" x14ac:dyDescent="0.2">
      <c r="A252" s="10"/>
      <c r="B252" s="10"/>
      <c r="C252" s="10"/>
      <c r="E252" s="312"/>
      <c r="F252" s="312"/>
      <c r="G252" s="312"/>
      <c r="H252" s="312"/>
      <c r="I252" s="312"/>
      <c r="J252" s="312"/>
      <c r="K252" s="312"/>
      <c r="L252" s="312"/>
      <c r="M252" s="312"/>
    </row>
    <row r="253" spans="1:13" ht="20.25" x14ac:dyDescent="0.2">
      <c r="A253" s="18"/>
      <c r="B253" s="10"/>
      <c r="C253" s="10"/>
      <c r="E253" s="312"/>
      <c r="F253" s="312"/>
      <c r="G253" s="312"/>
      <c r="H253" s="312"/>
      <c r="I253" s="312"/>
      <c r="J253" s="312"/>
      <c r="K253" s="312"/>
      <c r="L253" s="312"/>
      <c r="M253" s="312"/>
    </row>
    <row r="254" spans="1:13" x14ac:dyDescent="0.2">
      <c r="A254" s="10"/>
      <c r="B254" s="10"/>
      <c r="C254" s="10"/>
      <c r="E254" s="312"/>
      <c r="F254" s="312"/>
      <c r="G254" s="312"/>
      <c r="H254" s="312"/>
      <c r="I254" s="312"/>
      <c r="J254" s="312"/>
      <c r="K254" s="312"/>
      <c r="L254" s="312"/>
      <c r="M254" s="312"/>
    </row>
    <row r="255" spans="1:13" x14ac:dyDescent="0.2">
      <c r="A255" s="10" t="s">
        <v>119</v>
      </c>
      <c r="B255" s="10"/>
      <c r="C255" s="10"/>
      <c r="E255" s="249">
        <v>-87</v>
      </c>
      <c r="F255" s="249">
        <v>12834</v>
      </c>
      <c r="G255" s="249">
        <v>-3538</v>
      </c>
      <c r="H255" s="249">
        <v>-2050</v>
      </c>
      <c r="I255" s="249">
        <v>-96</v>
      </c>
      <c r="J255" s="249">
        <v>4780.6702268946246</v>
      </c>
      <c r="K255" s="249">
        <v>6964.662950276761</v>
      </c>
      <c r="L255" s="249">
        <v>3782.4545289830276</v>
      </c>
      <c r="M255" s="249">
        <v>4244.6012303270109</v>
      </c>
    </row>
    <row r="256" spans="1:13" x14ac:dyDescent="0.2">
      <c r="A256" s="10"/>
      <c r="B256" s="10"/>
      <c r="C256" s="10"/>
      <c r="E256" s="312"/>
      <c r="F256" s="312"/>
      <c r="G256" s="312"/>
      <c r="H256" s="312"/>
      <c r="I256" s="312"/>
      <c r="J256" s="312"/>
      <c r="K256" s="312"/>
      <c r="L256" s="312"/>
      <c r="M256" s="312"/>
    </row>
    <row r="257" spans="1:13" x14ac:dyDescent="0.2">
      <c r="A257" s="10" t="s">
        <v>120</v>
      </c>
      <c r="B257" s="10"/>
      <c r="C257" s="10"/>
      <c r="E257" s="312"/>
      <c r="F257" s="312"/>
      <c r="G257" s="312"/>
      <c r="H257" s="312"/>
      <c r="I257" s="312"/>
      <c r="J257" s="312"/>
      <c r="K257" s="312"/>
      <c r="L257" s="312"/>
      <c r="M257" s="312"/>
    </row>
    <row r="258" spans="1:13" x14ac:dyDescent="0.2">
      <c r="A258" s="10"/>
      <c r="B258" s="10" t="s">
        <v>121</v>
      </c>
      <c r="C258" s="10"/>
      <c r="E258" s="313">
        <v>8402</v>
      </c>
      <c r="F258" s="313">
        <v>8202</v>
      </c>
      <c r="G258" s="313">
        <v>9439</v>
      </c>
      <c r="H258" s="313">
        <v>9538</v>
      </c>
      <c r="I258" s="313">
        <v>9598</v>
      </c>
      <c r="J258" s="313">
        <v>9817.6149999999998</v>
      </c>
      <c r="K258" s="313">
        <v>9882.084000104167</v>
      </c>
      <c r="L258" s="313">
        <v>9261.1233002499994</v>
      </c>
      <c r="M258" s="313">
        <v>9443.1233002500012</v>
      </c>
    </row>
    <row r="259" spans="1:13" x14ac:dyDescent="0.2">
      <c r="A259" s="10"/>
      <c r="B259" s="10" t="s">
        <v>122</v>
      </c>
      <c r="C259" s="10"/>
      <c r="E259" s="313">
        <v>56</v>
      </c>
      <c r="F259" s="313">
        <v>-150</v>
      </c>
      <c r="G259" s="313">
        <v>-1</v>
      </c>
      <c r="H259" s="313">
        <v>76</v>
      </c>
      <c r="I259" s="313">
        <v>54</v>
      </c>
      <c r="J259" s="313">
        <v>-2400</v>
      </c>
      <c r="K259" s="313">
        <v>-2250</v>
      </c>
      <c r="L259" s="313">
        <v>0</v>
      </c>
      <c r="M259" s="313">
        <v>0</v>
      </c>
    </row>
    <row r="260" spans="1:13" x14ac:dyDescent="0.2">
      <c r="A260" s="10"/>
      <c r="B260" s="10" t="s">
        <v>123</v>
      </c>
      <c r="C260" s="10"/>
      <c r="E260" s="313">
        <v>55</v>
      </c>
      <c r="F260" s="313">
        <v>96</v>
      </c>
      <c r="G260" s="313">
        <v>0</v>
      </c>
      <c r="H260" s="313">
        <v>0</v>
      </c>
      <c r="I260" s="313">
        <v>0</v>
      </c>
      <c r="J260" s="313">
        <v>0</v>
      </c>
      <c r="K260" s="313">
        <v>0</v>
      </c>
      <c r="L260" s="313">
        <v>0</v>
      </c>
      <c r="M260" s="313">
        <v>0</v>
      </c>
    </row>
    <row r="261" spans="1:13" x14ac:dyDescent="0.2">
      <c r="A261" s="10"/>
      <c r="B261" s="10" t="s">
        <v>33</v>
      </c>
      <c r="C261" s="10"/>
      <c r="E261" s="313">
        <v>0</v>
      </c>
      <c r="F261" s="313">
        <v>-13794</v>
      </c>
      <c r="G261" s="313">
        <v>-18</v>
      </c>
      <c r="H261" s="313">
        <v>1124</v>
      </c>
      <c r="I261" s="313">
        <v>939</v>
      </c>
      <c r="J261" s="313">
        <v>0</v>
      </c>
      <c r="K261" s="313">
        <v>0</v>
      </c>
      <c r="L261" s="313">
        <v>0</v>
      </c>
      <c r="M261" s="313">
        <v>0</v>
      </c>
    </row>
    <row r="262" spans="1:13" x14ac:dyDescent="0.2">
      <c r="A262" s="10"/>
      <c r="B262" s="10"/>
      <c r="C262" s="10"/>
      <c r="E262" s="89">
        <v>8513</v>
      </c>
      <c r="F262" s="89">
        <v>-5646</v>
      </c>
      <c r="G262" s="89">
        <v>9420</v>
      </c>
      <c r="H262" s="89">
        <v>10738</v>
      </c>
      <c r="I262" s="89">
        <v>10591</v>
      </c>
      <c r="J262" s="89">
        <v>7417.6149999999998</v>
      </c>
      <c r="K262" s="89">
        <v>7632.084000104167</v>
      </c>
      <c r="L262" s="89">
        <v>9261.1233002499994</v>
      </c>
      <c r="M262" s="89">
        <v>9443.1233002500012</v>
      </c>
    </row>
    <row r="263" spans="1:13" x14ac:dyDescent="0.2">
      <c r="A263" s="10"/>
      <c r="B263" s="10"/>
      <c r="C263" s="10"/>
      <c r="E263" s="312"/>
      <c r="F263" s="312"/>
      <c r="G263" s="312"/>
      <c r="H263" s="312"/>
      <c r="I263" s="312"/>
      <c r="J263" s="312"/>
      <c r="K263" s="312"/>
      <c r="L263" s="312"/>
      <c r="M263" s="312"/>
    </row>
    <row r="264" spans="1:13" x14ac:dyDescent="0.2">
      <c r="A264" s="10" t="s">
        <v>124</v>
      </c>
      <c r="B264" s="10"/>
      <c r="C264" s="10"/>
      <c r="E264" s="312"/>
      <c r="F264" s="312"/>
      <c r="G264" s="312"/>
      <c r="H264" s="312"/>
      <c r="I264" s="312"/>
      <c r="J264" s="312"/>
      <c r="K264" s="312"/>
      <c r="L264" s="312"/>
      <c r="M264" s="312"/>
    </row>
    <row r="265" spans="1:13" x14ac:dyDescent="0.2">
      <c r="A265" s="10"/>
      <c r="B265" s="10" t="s">
        <v>125</v>
      </c>
      <c r="C265" s="10"/>
      <c r="E265" s="313">
        <v>368</v>
      </c>
      <c r="F265" s="313">
        <v>-1806</v>
      </c>
      <c r="G265" s="313">
        <v>-5654</v>
      </c>
      <c r="H265" s="313">
        <v>4830</v>
      </c>
      <c r="I265" s="313">
        <v>300</v>
      </c>
      <c r="J265" s="313">
        <v>4812</v>
      </c>
      <c r="K265" s="313">
        <v>251</v>
      </c>
      <c r="L265" s="313">
        <v>75</v>
      </c>
      <c r="M265" s="313">
        <v>0</v>
      </c>
    </row>
    <row r="266" spans="1:13" x14ac:dyDescent="0.2">
      <c r="A266" s="10"/>
      <c r="B266" s="10" t="s">
        <v>126</v>
      </c>
      <c r="C266" s="10"/>
      <c r="E266" s="313">
        <v>870</v>
      </c>
      <c r="F266" s="313">
        <v>-4937</v>
      </c>
      <c r="G266" s="313">
        <v>2012</v>
      </c>
      <c r="H266" s="313">
        <v>3462</v>
      </c>
      <c r="I266" s="313">
        <v>-2271</v>
      </c>
      <c r="J266" s="313">
        <v>-1199</v>
      </c>
      <c r="K266" s="313">
        <v>-573</v>
      </c>
      <c r="L266" s="313">
        <v>-150</v>
      </c>
      <c r="M266" s="313">
        <v>-100</v>
      </c>
    </row>
    <row r="267" spans="1:13" x14ac:dyDescent="0.2">
      <c r="A267" s="10"/>
      <c r="B267" s="10" t="s">
        <v>33</v>
      </c>
      <c r="C267" s="10"/>
      <c r="E267" s="313">
        <v>21</v>
      </c>
      <c r="F267" s="313">
        <v>59</v>
      </c>
      <c r="G267" s="313">
        <v>106</v>
      </c>
      <c r="H267" s="313">
        <v>0</v>
      </c>
      <c r="I267" s="313">
        <v>-275</v>
      </c>
      <c r="J267" s="313">
        <v>0</v>
      </c>
      <c r="K267" s="313">
        <v>0</v>
      </c>
      <c r="L267" s="313">
        <v>0</v>
      </c>
      <c r="M267" s="313">
        <v>0</v>
      </c>
    </row>
    <row r="268" spans="1:13" x14ac:dyDescent="0.2">
      <c r="A268" s="10"/>
      <c r="B268" s="10"/>
      <c r="C268" s="10"/>
      <c r="E268" s="89">
        <v>1259</v>
      </c>
      <c r="F268" s="89">
        <v>-6684</v>
      </c>
      <c r="G268" s="89">
        <v>-3536</v>
      </c>
      <c r="H268" s="89">
        <v>8292</v>
      </c>
      <c r="I268" s="89">
        <v>-2246</v>
      </c>
      <c r="J268" s="89">
        <v>3613</v>
      </c>
      <c r="K268" s="89">
        <v>-322</v>
      </c>
      <c r="L268" s="89">
        <v>-75</v>
      </c>
      <c r="M268" s="89">
        <v>-100</v>
      </c>
    </row>
    <row r="269" spans="1:13" x14ac:dyDescent="0.2">
      <c r="A269" s="10"/>
      <c r="B269" s="10"/>
      <c r="C269" s="10"/>
      <c r="E269" s="249"/>
      <c r="F269" s="249"/>
      <c r="G269" s="249"/>
      <c r="H269" s="249"/>
      <c r="I269" s="249"/>
      <c r="J269" s="249"/>
      <c r="K269" s="249"/>
      <c r="L269" s="249"/>
      <c r="M269" s="249"/>
    </row>
    <row r="270" spans="1:13" ht="15.75" thickBot="1" x14ac:dyDescent="0.25">
      <c r="A270" s="10" t="s">
        <v>106</v>
      </c>
      <c r="B270" s="10"/>
      <c r="C270" s="10"/>
      <c r="E270" s="255">
        <v>9685</v>
      </c>
      <c r="F270" s="255">
        <v>504</v>
      </c>
      <c r="G270" s="255">
        <v>2346</v>
      </c>
      <c r="H270" s="255">
        <v>16980</v>
      </c>
      <c r="I270" s="255">
        <v>8249</v>
      </c>
      <c r="J270" s="255">
        <v>15811.285226894624</v>
      </c>
      <c r="K270" s="255">
        <v>14274.746950380928</v>
      </c>
      <c r="L270" s="255">
        <v>12968.577829233027</v>
      </c>
      <c r="M270" s="255">
        <v>13587.724530577012</v>
      </c>
    </row>
    <row r="271" spans="1:13" ht="15.75" thickTop="1" x14ac:dyDescent="0.2">
      <c r="A271" s="10" t="s">
        <v>85</v>
      </c>
      <c r="B271" s="10"/>
      <c r="C271" s="10"/>
      <c r="E271" s="257" t="s">
        <v>210</v>
      </c>
      <c r="F271" s="257" t="s">
        <v>210</v>
      </c>
      <c r="G271" s="257" t="s">
        <v>210</v>
      </c>
      <c r="H271" s="257" t="s">
        <v>210</v>
      </c>
      <c r="I271" s="257" t="s">
        <v>210</v>
      </c>
      <c r="J271" s="257" t="s">
        <v>210</v>
      </c>
      <c r="K271" s="257" t="s">
        <v>210</v>
      </c>
      <c r="L271" s="257" t="s">
        <v>210</v>
      </c>
      <c r="M271" s="257" t="s">
        <v>210</v>
      </c>
    </row>
    <row r="272" spans="1:13" x14ac:dyDescent="0.2">
      <c r="A272" s="10"/>
      <c r="B272" s="10"/>
      <c r="C272" s="10"/>
      <c r="E272" s="314"/>
      <c r="F272" s="314"/>
      <c r="G272" s="314"/>
      <c r="H272" s="314"/>
      <c r="I272" s="314"/>
      <c r="J272" s="314"/>
      <c r="K272" s="314"/>
      <c r="L272" s="314"/>
      <c r="M272" s="314"/>
    </row>
    <row r="273" spans="1:13" ht="20.25" x14ac:dyDescent="0.2">
      <c r="A273" s="18" t="s">
        <v>127</v>
      </c>
      <c r="B273" s="24"/>
      <c r="C273" s="10"/>
      <c r="E273" s="312"/>
      <c r="F273" s="312"/>
      <c r="G273" s="312"/>
      <c r="H273" s="312"/>
      <c r="I273" s="312"/>
      <c r="J273" s="312"/>
      <c r="K273" s="312"/>
      <c r="L273" s="312"/>
      <c r="M273" s="312"/>
    </row>
    <row r="274" spans="1:13" ht="20.25" x14ac:dyDescent="0.2">
      <c r="A274" s="18"/>
      <c r="B274" s="24"/>
      <c r="C274" s="10"/>
      <c r="E274" s="312"/>
      <c r="F274" s="312"/>
      <c r="G274" s="312"/>
      <c r="H274" s="312"/>
      <c r="I274" s="312"/>
      <c r="J274" s="312"/>
      <c r="K274" s="312"/>
      <c r="L274" s="312"/>
      <c r="M274" s="312"/>
    </row>
    <row r="275" spans="1:13" ht="80.099999999999994" customHeight="1" x14ac:dyDescent="0.2">
      <c r="A275" s="10"/>
      <c r="B275" s="10"/>
      <c r="C275" s="10"/>
      <c r="E275" s="312"/>
      <c r="F275" s="312"/>
      <c r="G275" s="312"/>
      <c r="H275" s="312"/>
      <c r="I275" s="312"/>
      <c r="J275" s="312"/>
      <c r="K275" s="312"/>
      <c r="L275" s="312"/>
      <c r="M275" s="312"/>
    </row>
    <row r="276" spans="1:13" x14ac:dyDescent="0.2">
      <c r="A276" s="25"/>
      <c r="B276" s="10"/>
      <c r="C276" s="10"/>
      <c r="E276" s="312"/>
      <c r="F276" s="312"/>
      <c r="G276" s="312"/>
      <c r="H276" s="312"/>
      <c r="I276" s="312"/>
      <c r="J276" s="312"/>
      <c r="K276" s="312"/>
      <c r="L276" s="312"/>
      <c r="M276" s="312"/>
    </row>
    <row r="277" spans="1:13" x14ac:dyDescent="0.2">
      <c r="A277" s="25"/>
      <c r="B277" s="10"/>
      <c r="C277" s="10"/>
      <c r="E277" s="312"/>
      <c r="F277" s="312"/>
      <c r="G277" s="312"/>
      <c r="H277" s="312"/>
      <c r="I277" s="312"/>
      <c r="J277" s="312"/>
      <c r="K277" s="312"/>
      <c r="L277" s="312"/>
      <c r="M277" s="312"/>
    </row>
    <row r="278" spans="1:13" x14ac:dyDescent="0.2">
      <c r="A278" s="25"/>
      <c r="B278" s="10"/>
      <c r="C278" s="10"/>
      <c r="E278" s="312"/>
      <c r="F278" s="312"/>
      <c r="G278" s="312"/>
      <c r="H278" s="312"/>
      <c r="I278" s="312"/>
      <c r="J278" s="312"/>
      <c r="K278" s="312"/>
      <c r="L278" s="312"/>
      <c r="M278" s="312"/>
    </row>
    <row r="279" spans="1:13" x14ac:dyDescent="0.2">
      <c r="A279" s="25"/>
      <c r="B279" s="10"/>
      <c r="C279" s="10"/>
      <c r="E279" s="312"/>
      <c r="F279" s="312"/>
      <c r="G279" s="312"/>
      <c r="H279" s="312"/>
      <c r="I279" s="312"/>
      <c r="J279" s="312"/>
      <c r="K279" s="312"/>
      <c r="L279" s="312"/>
      <c r="M279" s="312"/>
    </row>
    <row r="280" spans="1:13" ht="15.75" x14ac:dyDescent="0.2">
      <c r="A280" s="20" t="s">
        <v>128</v>
      </c>
      <c r="B280" s="10"/>
      <c r="C280" s="10"/>
      <c r="E280" s="312"/>
      <c r="F280" s="312"/>
      <c r="G280" s="312"/>
      <c r="H280" s="312"/>
      <c r="I280" s="312"/>
      <c r="J280" s="312"/>
      <c r="K280" s="312"/>
      <c r="L280" s="312"/>
      <c r="M280" s="312"/>
    </row>
    <row r="281" spans="1:13" x14ac:dyDescent="0.2">
      <c r="A281" s="10"/>
      <c r="B281" s="10" t="s">
        <v>129</v>
      </c>
      <c r="C281" s="10"/>
      <c r="E281" s="312"/>
      <c r="F281" s="312"/>
      <c r="G281" s="312"/>
      <c r="H281" s="312"/>
      <c r="I281" s="312"/>
      <c r="J281" s="312"/>
      <c r="K281" s="312"/>
      <c r="L281" s="312"/>
      <c r="M281" s="312"/>
    </row>
    <row r="282" spans="1:13" x14ac:dyDescent="0.2">
      <c r="A282" s="10"/>
      <c r="B282" s="10"/>
      <c r="C282" s="10" t="s">
        <v>130</v>
      </c>
      <c r="E282" s="313">
        <v>2002</v>
      </c>
      <c r="F282" s="313">
        <v>464</v>
      </c>
      <c r="G282" s="313">
        <v>124</v>
      </c>
      <c r="H282" s="313">
        <v>86</v>
      </c>
      <c r="I282" s="313">
        <v>86</v>
      </c>
      <c r="J282" s="313">
        <v>268</v>
      </c>
      <c r="K282" s="313">
        <v>268</v>
      </c>
      <c r="L282" s="313">
        <v>131</v>
      </c>
      <c r="M282" s="313">
        <v>131</v>
      </c>
    </row>
    <row r="283" spans="1:13" x14ac:dyDescent="0.2">
      <c r="A283" s="10"/>
      <c r="B283" s="10"/>
      <c r="C283" s="10" t="s">
        <v>131</v>
      </c>
      <c r="E283" s="313">
        <v>4263</v>
      </c>
      <c r="F283" s="313">
        <v>7493</v>
      </c>
      <c r="G283" s="313">
        <v>6241</v>
      </c>
      <c r="H283" s="313">
        <v>5935</v>
      </c>
      <c r="I283" s="313">
        <v>5977</v>
      </c>
      <c r="J283" s="313">
        <v>5799</v>
      </c>
      <c r="K283" s="313">
        <v>5880</v>
      </c>
      <c r="L283" s="313">
        <v>5454</v>
      </c>
      <c r="M283" s="313">
        <v>5304</v>
      </c>
    </row>
    <row r="284" spans="1:13" x14ac:dyDescent="0.2">
      <c r="A284" s="10"/>
      <c r="B284" s="10"/>
      <c r="C284" s="10" t="s">
        <v>132</v>
      </c>
      <c r="E284" s="313">
        <v>1785</v>
      </c>
      <c r="F284" s="313">
        <v>1673</v>
      </c>
      <c r="G284" s="313">
        <v>1644</v>
      </c>
      <c r="H284" s="313">
        <v>1552</v>
      </c>
      <c r="I284" s="313">
        <v>1632</v>
      </c>
      <c r="J284" s="313">
        <v>1735</v>
      </c>
      <c r="K284" s="313">
        <v>1832</v>
      </c>
      <c r="L284" s="313">
        <v>1910</v>
      </c>
      <c r="M284" s="313">
        <v>2020</v>
      </c>
    </row>
    <row r="285" spans="1:13" x14ac:dyDescent="0.2">
      <c r="A285" s="10"/>
      <c r="B285" s="10"/>
      <c r="C285" s="10" t="s">
        <v>133</v>
      </c>
      <c r="E285" s="313">
        <v>39</v>
      </c>
      <c r="F285" s="313">
        <v>47</v>
      </c>
      <c r="G285" s="313">
        <v>42</v>
      </c>
      <c r="H285" s="313">
        <v>78</v>
      </c>
      <c r="I285" s="313">
        <v>73</v>
      </c>
      <c r="J285" s="313">
        <v>68</v>
      </c>
      <c r="K285" s="313">
        <v>71</v>
      </c>
      <c r="L285" s="313">
        <v>80</v>
      </c>
      <c r="M285" s="313">
        <v>90</v>
      </c>
    </row>
    <row r="286" spans="1:13" x14ac:dyDescent="0.2">
      <c r="A286" s="10"/>
      <c r="B286" s="10"/>
      <c r="C286" s="26" t="s">
        <v>134</v>
      </c>
      <c r="E286" s="313">
        <v>1</v>
      </c>
      <c r="F286" s="313">
        <v>2</v>
      </c>
      <c r="G286" s="313">
        <v>1</v>
      </c>
      <c r="H286" s="313">
        <v>3</v>
      </c>
      <c r="I286" s="313">
        <v>6</v>
      </c>
      <c r="J286" s="313">
        <v>6.5</v>
      </c>
      <c r="K286" s="313">
        <v>6.5</v>
      </c>
      <c r="L286" s="313">
        <v>10</v>
      </c>
      <c r="M286" s="313">
        <v>10</v>
      </c>
    </row>
    <row r="287" spans="1:13" x14ac:dyDescent="0.2">
      <c r="A287" s="10"/>
      <c r="B287" s="10"/>
      <c r="C287" s="10" t="s">
        <v>135</v>
      </c>
      <c r="E287" s="89">
        <v>8090</v>
      </c>
      <c r="F287" s="89">
        <v>9679</v>
      </c>
      <c r="G287" s="89">
        <v>8052</v>
      </c>
      <c r="H287" s="89">
        <v>7654</v>
      </c>
      <c r="I287" s="89">
        <v>7774</v>
      </c>
      <c r="J287" s="89">
        <v>7876.5</v>
      </c>
      <c r="K287" s="89">
        <v>8057.5</v>
      </c>
      <c r="L287" s="89">
        <v>7585</v>
      </c>
      <c r="M287" s="89">
        <v>7555</v>
      </c>
    </row>
    <row r="288" spans="1:13" x14ac:dyDescent="0.2">
      <c r="A288" s="10"/>
      <c r="B288" s="10" t="s">
        <v>10</v>
      </c>
      <c r="C288" s="10"/>
      <c r="E288" s="312"/>
      <c r="F288" s="312"/>
      <c r="G288" s="312"/>
      <c r="H288" s="312"/>
      <c r="I288" s="312"/>
      <c r="J288" s="312"/>
      <c r="K288" s="312"/>
      <c r="L288" s="312"/>
      <c r="M288" s="312"/>
    </row>
    <row r="289" spans="1:13" x14ac:dyDescent="0.2">
      <c r="A289" s="10"/>
      <c r="B289" s="10"/>
      <c r="C289" s="10" t="s">
        <v>131</v>
      </c>
      <c r="E289" s="313">
        <v>554</v>
      </c>
      <c r="F289" s="313">
        <v>508</v>
      </c>
      <c r="G289" s="313">
        <v>299</v>
      </c>
      <c r="H289" s="313">
        <v>284</v>
      </c>
      <c r="I289" s="313">
        <v>350</v>
      </c>
      <c r="J289" s="313">
        <v>356</v>
      </c>
      <c r="K289" s="313">
        <v>351</v>
      </c>
      <c r="L289" s="313">
        <v>390</v>
      </c>
      <c r="M289" s="313">
        <v>440</v>
      </c>
    </row>
    <row r="290" spans="1:13" x14ac:dyDescent="0.2">
      <c r="A290" s="10"/>
      <c r="B290" s="10"/>
      <c r="C290" s="10" t="s">
        <v>132</v>
      </c>
      <c r="E290" s="313">
        <v>357</v>
      </c>
      <c r="F290" s="313">
        <v>380</v>
      </c>
      <c r="G290" s="313">
        <v>302</v>
      </c>
      <c r="H290" s="313">
        <v>206</v>
      </c>
      <c r="I290" s="313">
        <v>228</v>
      </c>
      <c r="J290" s="313">
        <v>232</v>
      </c>
      <c r="K290" s="313">
        <v>277</v>
      </c>
      <c r="L290" s="313">
        <v>290</v>
      </c>
      <c r="M290" s="313">
        <v>320</v>
      </c>
    </row>
    <row r="291" spans="1:13" x14ac:dyDescent="0.2">
      <c r="A291" s="10"/>
      <c r="B291" s="10"/>
      <c r="C291" s="10" t="s">
        <v>133</v>
      </c>
      <c r="E291" s="313">
        <v>0</v>
      </c>
      <c r="F291" s="313">
        <v>0</v>
      </c>
      <c r="G291" s="313">
        <v>1</v>
      </c>
      <c r="H291" s="313">
        <v>2</v>
      </c>
      <c r="I291" s="313">
        <v>1</v>
      </c>
      <c r="J291" s="313">
        <v>6</v>
      </c>
      <c r="K291" s="313">
        <v>2</v>
      </c>
      <c r="L291" s="313">
        <v>10</v>
      </c>
      <c r="M291" s="313">
        <v>15</v>
      </c>
    </row>
    <row r="292" spans="1:13" x14ac:dyDescent="0.2">
      <c r="A292" s="10"/>
      <c r="B292" s="10"/>
      <c r="C292" s="26" t="s">
        <v>134</v>
      </c>
      <c r="E292" s="313">
        <v>0</v>
      </c>
      <c r="F292" s="313">
        <v>0</v>
      </c>
      <c r="G292" s="313">
        <v>0</v>
      </c>
      <c r="H292" s="313">
        <v>0</v>
      </c>
      <c r="I292" s="313">
        <v>0</v>
      </c>
      <c r="J292" s="313">
        <v>0</v>
      </c>
      <c r="K292" s="313">
        <v>0</v>
      </c>
      <c r="L292" s="313">
        <v>0</v>
      </c>
      <c r="M292" s="313">
        <v>0</v>
      </c>
    </row>
    <row r="293" spans="1:13" x14ac:dyDescent="0.2">
      <c r="A293" s="10"/>
      <c r="B293" s="10"/>
      <c r="C293" s="10" t="s">
        <v>136</v>
      </c>
      <c r="E293" s="89">
        <v>911</v>
      </c>
      <c r="F293" s="89">
        <v>888</v>
      </c>
      <c r="G293" s="89">
        <v>602</v>
      </c>
      <c r="H293" s="89">
        <v>492</v>
      </c>
      <c r="I293" s="89">
        <v>579</v>
      </c>
      <c r="J293" s="89">
        <v>594</v>
      </c>
      <c r="K293" s="89">
        <v>630</v>
      </c>
      <c r="L293" s="89">
        <v>690</v>
      </c>
      <c r="M293" s="89">
        <v>775</v>
      </c>
    </row>
    <row r="294" spans="1:13" x14ac:dyDescent="0.2">
      <c r="A294" s="10"/>
      <c r="B294" s="10" t="s">
        <v>33</v>
      </c>
      <c r="C294" s="10"/>
      <c r="E294" s="312"/>
      <c r="F294" s="312"/>
      <c r="G294" s="312"/>
      <c r="H294" s="312"/>
      <c r="I294" s="312"/>
      <c r="J294" s="312"/>
      <c r="K294" s="312"/>
      <c r="L294" s="312"/>
      <c r="M294" s="312"/>
    </row>
    <row r="295" spans="1:13" x14ac:dyDescent="0.2">
      <c r="A295" s="10"/>
      <c r="B295" s="10"/>
      <c r="C295" s="10" t="s">
        <v>137</v>
      </c>
      <c r="E295" s="313">
        <v>0</v>
      </c>
      <c r="F295" s="313">
        <v>0</v>
      </c>
      <c r="G295" s="313">
        <v>0</v>
      </c>
      <c r="H295" s="313">
        <v>0</v>
      </c>
      <c r="I295" s="313">
        <v>0</v>
      </c>
      <c r="J295" s="313">
        <v>0</v>
      </c>
      <c r="K295" s="313">
        <v>0</v>
      </c>
      <c r="L295" s="313">
        <v>0</v>
      </c>
      <c r="M295" s="313">
        <v>0</v>
      </c>
    </row>
    <row r="296" spans="1:13" x14ac:dyDescent="0.2">
      <c r="A296" s="10"/>
      <c r="B296" s="10"/>
      <c r="C296" s="10" t="s">
        <v>138</v>
      </c>
      <c r="E296" s="313">
        <v>1068</v>
      </c>
      <c r="F296" s="313">
        <v>896</v>
      </c>
      <c r="G296" s="313">
        <v>1071</v>
      </c>
      <c r="H296" s="313">
        <v>1168</v>
      </c>
      <c r="I296" s="313">
        <v>1304</v>
      </c>
      <c r="J296" s="313">
        <v>1023</v>
      </c>
      <c r="K296" s="313">
        <v>1021</v>
      </c>
      <c r="L296" s="313">
        <v>1022</v>
      </c>
      <c r="M296" s="313">
        <v>1022</v>
      </c>
    </row>
    <row r="297" spans="1:13" x14ac:dyDescent="0.2">
      <c r="A297" s="10"/>
      <c r="B297" s="10"/>
      <c r="C297" s="26" t="s">
        <v>139</v>
      </c>
      <c r="E297" s="313">
        <v>0</v>
      </c>
      <c r="F297" s="313">
        <v>0</v>
      </c>
      <c r="G297" s="313">
        <v>0</v>
      </c>
      <c r="H297" s="313">
        <v>0</v>
      </c>
      <c r="I297" s="313">
        <v>0</v>
      </c>
      <c r="J297" s="313">
        <v>0</v>
      </c>
      <c r="K297" s="313">
        <v>0</v>
      </c>
      <c r="L297" s="313">
        <v>0</v>
      </c>
      <c r="M297" s="313">
        <v>0</v>
      </c>
    </row>
    <row r="298" spans="1:13" x14ac:dyDescent="0.2">
      <c r="A298" s="10"/>
      <c r="B298" s="10"/>
      <c r="C298" s="10" t="s">
        <v>140</v>
      </c>
      <c r="E298" s="89">
        <v>1068</v>
      </c>
      <c r="F298" s="89">
        <v>896</v>
      </c>
      <c r="G298" s="89">
        <v>1071</v>
      </c>
      <c r="H298" s="89">
        <v>1168</v>
      </c>
      <c r="I298" s="89">
        <v>1304</v>
      </c>
      <c r="J298" s="89">
        <v>1023</v>
      </c>
      <c r="K298" s="89">
        <v>1021</v>
      </c>
      <c r="L298" s="89">
        <v>1022</v>
      </c>
      <c r="M298" s="89">
        <v>1022</v>
      </c>
    </row>
    <row r="299" spans="1:13" x14ac:dyDescent="0.2">
      <c r="A299" s="10"/>
      <c r="B299" s="21" t="s">
        <v>141</v>
      </c>
      <c r="C299" s="10"/>
      <c r="E299" s="252">
        <v>10069</v>
      </c>
      <c r="F299" s="252">
        <v>11463</v>
      </c>
      <c r="G299" s="252">
        <v>9725</v>
      </c>
      <c r="H299" s="252">
        <v>9314</v>
      </c>
      <c r="I299" s="252">
        <v>9657</v>
      </c>
      <c r="J299" s="252">
        <v>9493.5</v>
      </c>
      <c r="K299" s="252">
        <v>9708.5</v>
      </c>
      <c r="L299" s="252">
        <v>9297</v>
      </c>
      <c r="M299" s="252">
        <v>9352</v>
      </c>
    </row>
    <row r="300" spans="1:13" ht="15.75" x14ac:dyDescent="0.2">
      <c r="A300" s="20" t="s">
        <v>142</v>
      </c>
      <c r="B300" s="10"/>
      <c r="C300" s="10"/>
      <c r="E300" s="312"/>
      <c r="F300" s="312"/>
      <c r="G300" s="312"/>
      <c r="H300" s="312"/>
      <c r="I300" s="312"/>
      <c r="J300" s="312"/>
      <c r="K300" s="312"/>
      <c r="L300" s="312"/>
      <c r="M300" s="312"/>
    </row>
    <row r="301" spans="1:13" x14ac:dyDescent="0.2">
      <c r="A301" s="10"/>
      <c r="B301" s="10"/>
      <c r="C301" s="10" t="s">
        <v>143</v>
      </c>
      <c r="E301" s="313">
        <v>2419</v>
      </c>
      <c r="F301" s="313">
        <v>1757</v>
      </c>
      <c r="G301" s="313">
        <v>6827</v>
      </c>
      <c r="H301" s="313">
        <v>7106</v>
      </c>
      <c r="I301" s="313">
        <v>7843</v>
      </c>
      <c r="J301" s="313">
        <v>8162.5</v>
      </c>
      <c r="K301" s="313">
        <v>8478.5</v>
      </c>
      <c r="L301" s="313">
        <v>8443</v>
      </c>
      <c r="M301" s="313">
        <v>8498</v>
      </c>
    </row>
    <row r="302" spans="1:13" x14ac:dyDescent="0.2">
      <c r="A302" s="10"/>
      <c r="B302" s="10"/>
      <c r="C302" s="10" t="s">
        <v>144</v>
      </c>
      <c r="E302" s="313">
        <v>53</v>
      </c>
      <c r="F302" s="313">
        <v>97</v>
      </c>
      <c r="G302" s="313">
        <v>60</v>
      </c>
      <c r="H302" s="313">
        <v>63</v>
      </c>
      <c r="I302" s="313">
        <v>698</v>
      </c>
      <c r="J302" s="313">
        <v>0</v>
      </c>
      <c r="K302" s="313">
        <v>0</v>
      </c>
      <c r="L302" s="313">
        <v>0</v>
      </c>
      <c r="M302" s="313">
        <v>0</v>
      </c>
    </row>
    <row r="303" spans="1:13" x14ac:dyDescent="0.2">
      <c r="A303" s="10"/>
      <c r="B303" s="10"/>
      <c r="C303" s="26" t="s">
        <v>145</v>
      </c>
      <c r="E303" s="313">
        <v>523</v>
      </c>
      <c r="F303" s="313">
        <v>1315</v>
      </c>
      <c r="G303" s="313">
        <v>2838</v>
      </c>
      <c r="H303" s="313">
        <v>2145</v>
      </c>
      <c r="I303" s="313">
        <v>1116</v>
      </c>
      <c r="J303" s="313">
        <v>1331</v>
      </c>
      <c r="K303" s="313">
        <v>1230</v>
      </c>
      <c r="L303" s="313">
        <v>910</v>
      </c>
      <c r="M303" s="313">
        <v>910</v>
      </c>
    </row>
    <row r="304" spans="1:13" x14ac:dyDescent="0.2">
      <c r="A304" s="10"/>
      <c r="B304" s="10" t="s">
        <v>146</v>
      </c>
      <c r="C304" s="10"/>
      <c r="E304" s="89">
        <v>2995</v>
      </c>
      <c r="F304" s="89">
        <v>3169</v>
      </c>
      <c r="G304" s="89">
        <v>9725</v>
      </c>
      <c r="H304" s="89">
        <v>9314</v>
      </c>
      <c r="I304" s="89">
        <v>9657</v>
      </c>
      <c r="J304" s="89">
        <v>9493.5</v>
      </c>
      <c r="K304" s="89">
        <v>9708.5</v>
      </c>
      <c r="L304" s="89">
        <v>9353</v>
      </c>
      <c r="M304" s="89">
        <v>9408</v>
      </c>
    </row>
    <row r="305" spans="1:13" x14ac:dyDescent="0.2">
      <c r="A305" s="10"/>
      <c r="B305" s="10"/>
      <c r="C305" s="10"/>
      <c r="E305" s="312"/>
      <c r="F305" s="312"/>
      <c r="G305" s="312"/>
      <c r="H305" s="315"/>
      <c r="I305" s="312"/>
      <c r="J305" s="312"/>
      <c r="K305" s="312"/>
      <c r="L305" s="312"/>
      <c r="M305" s="312"/>
    </row>
    <row r="306" spans="1:13" x14ac:dyDescent="0.2">
      <c r="A306" s="10" t="s">
        <v>147</v>
      </c>
      <c r="B306" s="10"/>
      <c r="C306" s="10"/>
      <c r="E306" s="312"/>
      <c r="F306" s="312"/>
      <c r="G306" s="312"/>
      <c r="H306" s="312"/>
      <c r="I306" s="312"/>
      <c r="J306" s="312"/>
      <c r="K306" s="312"/>
      <c r="L306" s="312"/>
      <c r="M306" s="312"/>
    </row>
    <row r="307" spans="1:13" x14ac:dyDescent="0.2">
      <c r="A307" s="10"/>
      <c r="B307" s="10"/>
      <c r="C307" s="10" t="s">
        <v>148</v>
      </c>
      <c r="E307" s="313">
        <v>54140</v>
      </c>
      <c r="F307" s="313">
        <v>54701</v>
      </c>
      <c r="G307" s="313">
        <v>65575</v>
      </c>
      <c r="H307" s="313">
        <v>40427</v>
      </c>
      <c r="I307" s="313">
        <v>48715</v>
      </c>
      <c r="J307" s="313">
        <v>13480</v>
      </c>
      <c r="K307" s="313">
        <v>8760</v>
      </c>
      <c r="L307" s="313">
        <v>7000</v>
      </c>
      <c r="M307" s="313">
        <v>7000</v>
      </c>
    </row>
    <row r="308" spans="1:13" x14ac:dyDescent="0.2">
      <c r="A308" s="10"/>
      <c r="B308" s="10"/>
      <c r="C308" s="10" t="s">
        <v>149</v>
      </c>
      <c r="E308" s="313">
        <v>0</v>
      </c>
      <c r="F308" s="313">
        <v>0</v>
      </c>
      <c r="G308" s="313">
        <v>3558</v>
      </c>
      <c r="H308" s="313">
        <v>1268</v>
      </c>
      <c r="I308" s="313">
        <v>1659</v>
      </c>
      <c r="J308" s="313">
        <v>1700</v>
      </c>
      <c r="K308" s="313">
        <v>0</v>
      </c>
      <c r="L308" s="313">
        <v>0</v>
      </c>
      <c r="M308" s="313">
        <v>0</v>
      </c>
    </row>
    <row r="309" spans="1:13" ht="15.75" x14ac:dyDescent="0.2">
      <c r="A309" s="20" t="s">
        <v>25</v>
      </c>
      <c r="B309" s="10"/>
      <c r="C309" s="10"/>
      <c r="E309" s="312"/>
      <c r="F309" s="312"/>
      <c r="G309" s="312"/>
      <c r="H309" s="312"/>
      <c r="I309" s="312"/>
      <c r="J309" s="312"/>
      <c r="K309" s="312"/>
      <c r="L309" s="312"/>
      <c r="M309" s="312"/>
    </row>
    <row r="310" spans="1:13" x14ac:dyDescent="0.2">
      <c r="A310" s="10"/>
      <c r="B310" s="10" t="s">
        <v>150</v>
      </c>
      <c r="C310" s="10"/>
      <c r="E310" s="313">
        <v>956</v>
      </c>
      <c r="F310" s="313">
        <v>856</v>
      </c>
      <c r="G310" s="313">
        <v>712</v>
      </c>
      <c r="H310" s="313">
        <v>742</v>
      </c>
      <c r="I310" s="313">
        <v>682</v>
      </c>
      <c r="J310" s="313">
        <v>28</v>
      </c>
      <c r="K310" s="313">
        <v>32</v>
      </c>
      <c r="L310" s="313">
        <v>32</v>
      </c>
      <c r="M310" s="313">
        <v>32</v>
      </c>
    </row>
    <row r="311" spans="1:13" x14ac:dyDescent="0.2">
      <c r="A311" s="10"/>
      <c r="B311" s="10" t="s">
        <v>151</v>
      </c>
      <c r="C311" s="10"/>
      <c r="E311" s="313">
        <v>638</v>
      </c>
      <c r="F311" s="313">
        <v>436</v>
      </c>
      <c r="G311" s="313">
        <v>549</v>
      </c>
      <c r="H311" s="313">
        <v>494</v>
      </c>
      <c r="I311" s="313">
        <v>501</v>
      </c>
      <c r="J311" s="313">
        <v>73</v>
      </c>
      <c r="K311" s="313">
        <v>75</v>
      </c>
      <c r="L311" s="313">
        <v>75</v>
      </c>
      <c r="M311" s="313">
        <v>75</v>
      </c>
    </row>
    <row r="312" spans="1:13" x14ac:dyDescent="0.2">
      <c r="A312" s="10"/>
      <c r="B312" s="10"/>
      <c r="C312" s="10"/>
      <c r="E312" s="312"/>
      <c r="F312" s="312"/>
      <c r="G312" s="312"/>
      <c r="H312" s="312"/>
      <c r="I312" s="312"/>
      <c r="J312" s="312"/>
      <c r="K312" s="312"/>
      <c r="L312" s="312"/>
      <c r="M312" s="312"/>
    </row>
    <row r="313" spans="1:13" x14ac:dyDescent="0.2">
      <c r="A313" s="10"/>
      <c r="B313" s="10" t="s">
        <v>152</v>
      </c>
      <c r="C313" s="10"/>
      <c r="E313" s="313">
        <v>554</v>
      </c>
      <c r="F313" s="313">
        <v>523</v>
      </c>
      <c r="G313" s="313">
        <v>460</v>
      </c>
      <c r="H313" s="313">
        <v>455</v>
      </c>
      <c r="I313" s="313">
        <v>491</v>
      </c>
      <c r="J313" s="313">
        <v>446.87</v>
      </c>
      <c r="K313" s="313">
        <v>454.34</v>
      </c>
      <c r="L313" s="313">
        <v>469.34</v>
      </c>
      <c r="M313" s="313">
        <v>470.5</v>
      </c>
    </row>
    <row r="314" spans="1:13" x14ac:dyDescent="0.2">
      <c r="A314" s="10"/>
      <c r="B314" s="10" t="s">
        <v>153</v>
      </c>
      <c r="C314" s="10"/>
      <c r="E314" s="313">
        <v>3</v>
      </c>
      <c r="F314" s="313">
        <v>3</v>
      </c>
      <c r="G314" s="313">
        <v>4</v>
      </c>
      <c r="H314" s="313">
        <v>0</v>
      </c>
      <c r="I314" s="313">
        <v>2</v>
      </c>
      <c r="J314" s="313">
        <v>2.5</v>
      </c>
      <c r="K314" s="313">
        <v>2.5</v>
      </c>
      <c r="L314" s="313">
        <v>2.5</v>
      </c>
      <c r="M314" s="313">
        <v>2.5</v>
      </c>
    </row>
    <row r="315" spans="1:13" x14ac:dyDescent="0.2">
      <c r="A315" s="10"/>
      <c r="B315" s="26" t="s">
        <v>154</v>
      </c>
      <c r="C315" s="26"/>
      <c r="E315" s="313">
        <v>437</v>
      </c>
      <c r="F315" s="313">
        <v>405</v>
      </c>
      <c r="G315" s="313">
        <v>402</v>
      </c>
      <c r="H315" s="313">
        <v>395</v>
      </c>
      <c r="I315" s="313">
        <v>363</v>
      </c>
      <c r="J315" s="313">
        <v>385.89</v>
      </c>
      <c r="K315" s="313">
        <v>387.89</v>
      </c>
      <c r="L315" s="313">
        <v>384.89</v>
      </c>
      <c r="M315" s="313">
        <v>384.89</v>
      </c>
    </row>
    <row r="316" spans="1:13" x14ac:dyDescent="0.2">
      <c r="A316" s="10"/>
      <c r="B316" s="21" t="s">
        <v>155</v>
      </c>
      <c r="C316" s="21"/>
      <c r="E316" s="309">
        <v>994</v>
      </c>
      <c r="F316" s="309">
        <v>931</v>
      </c>
      <c r="G316" s="309">
        <v>866</v>
      </c>
      <c r="H316" s="309">
        <v>850</v>
      </c>
      <c r="I316" s="309">
        <v>856</v>
      </c>
      <c r="J316" s="309">
        <v>835.26</v>
      </c>
      <c r="K316" s="309">
        <v>844.73</v>
      </c>
      <c r="L316" s="309">
        <v>856.73</v>
      </c>
      <c r="M316" s="309">
        <v>857.89</v>
      </c>
    </row>
    <row r="317" spans="1:13" ht="15.75" x14ac:dyDescent="0.2">
      <c r="A317" s="24"/>
      <c r="B317" s="24"/>
      <c r="C317" s="10"/>
      <c r="E317" s="312"/>
      <c r="F317" s="312"/>
      <c r="G317" s="312"/>
      <c r="H317" s="312"/>
      <c r="I317" s="312"/>
      <c r="J317" s="312"/>
      <c r="K317" s="312"/>
      <c r="L317" s="312"/>
      <c r="M317" s="312"/>
    </row>
    <row r="318" spans="1:13" ht="15.75" x14ac:dyDescent="0.2">
      <c r="A318" s="24" t="s">
        <v>156</v>
      </c>
      <c r="B318" s="10"/>
      <c r="C318" s="10"/>
      <c r="E318" s="313">
        <v>504</v>
      </c>
      <c r="F318" s="313">
        <v>546</v>
      </c>
      <c r="G318" s="313">
        <v>515</v>
      </c>
      <c r="H318" s="313">
        <v>691</v>
      </c>
      <c r="I318" s="313">
        <v>242</v>
      </c>
      <c r="J318" s="313">
        <v>203</v>
      </c>
      <c r="K318" s="313">
        <v>208</v>
      </c>
      <c r="L318" s="313">
        <v>208</v>
      </c>
      <c r="M318" s="313">
        <v>208</v>
      </c>
    </row>
    <row r="319" spans="1:13" x14ac:dyDescent="0.2">
      <c r="A319" s="10"/>
      <c r="B319" s="10"/>
      <c r="C319" s="10"/>
      <c r="E319" s="312"/>
      <c r="F319" s="312"/>
      <c r="G319" s="312"/>
      <c r="H319" s="312"/>
      <c r="I319" s="312"/>
      <c r="J319" s="312"/>
      <c r="K319" s="312"/>
      <c r="L319" s="312"/>
      <c r="M319" s="312"/>
    </row>
    <row r="320" spans="1:13" ht="15.75" x14ac:dyDescent="0.2">
      <c r="A320" s="24" t="s">
        <v>157</v>
      </c>
      <c r="B320" s="10"/>
      <c r="C320" s="10"/>
      <c r="E320" s="313">
        <v>21207</v>
      </c>
      <c r="F320" s="313">
        <v>21207</v>
      </c>
      <c r="G320" s="313">
        <v>88949</v>
      </c>
      <c r="H320" s="313">
        <v>93168</v>
      </c>
      <c r="I320" s="313">
        <v>97875</v>
      </c>
      <c r="J320" s="313">
        <v>70835</v>
      </c>
      <c r="K320" s="313">
        <v>51043</v>
      </c>
      <c r="L320" s="313">
        <v>51043</v>
      </c>
      <c r="M320" s="313">
        <v>51043</v>
      </c>
    </row>
    <row r="321" spans="1:13" ht="18.75" x14ac:dyDescent="0.3">
      <c r="A321" s="10"/>
      <c r="B321" s="10"/>
      <c r="C321" s="10"/>
      <c r="E321" s="144"/>
      <c r="F321" s="144"/>
      <c r="G321" s="131"/>
      <c r="H321" s="110"/>
      <c r="I321" s="203"/>
      <c r="J321" s="77"/>
      <c r="K321" s="145"/>
      <c r="L321" s="145"/>
    </row>
    <row r="322" spans="1:13" ht="18.75" x14ac:dyDescent="0.3">
      <c r="A322" s="10"/>
      <c r="B322" s="10"/>
      <c r="C322" s="10"/>
      <c r="E322" s="111"/>
      <c r="F322" s="111"/>
      <c r="G322" s="111"/>
      <c r="H322" s="112"/>
      <c r="I322" s="204"/>
      <c r="J322" s="77"/>
      <c r="L322" s="75"/>
      <c r="M322" s="75"/>
    </row>
  </sheetData>
  <protectedRanges>
    <protectedRange sqref="E276:M65536 J274:M275 E1:M273" name="Financials in TAMU Format"/>
    <protectedRange sqref="E274:I275" name="Financials in TAMU Format_1"/>
  </protectedRanges>
  <phoneticPr fontId="21" type="noConversion"/>
  <pageMargins left="0.74803149606299213" right="0.74803149606299213" top="0.98425196850393704" bottom="0.98425196850393704" header="0.51181102362204722" footer="0.51181102362204722"/>
  <pageSetup paperSize="9" scale="54"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topLeftCell="A37" zoomScale="80" workbookViewId="0">
      <selection activeCell="A60" sqref="A60"/>
    </sheetView>
  </sheetViews>
  <sheetFormatPr defaultRowHeight="15" x14ac:dyDescent="0.2"/>
  <cols>
    <col min="1" max="1" width="43.5546875" customWidth="1"/>
    <col min="2" max="2" width="1.21875" customWidth="1"/>
    <col min="3" max="11" width="8.77734375" customWidth="1"/>
    <col min="12" max="12" width="2.21875" customWidth="1"/>
  </cols>
  <sheetData>
    <row r="1" spans="1:12" ht="18" x14ac:dyDescent="0.25">
      <c r="A1" s="97" t="str">
        <f>Report!E4</f>
        <v>Institute of Hypothetical Results</v>
      </c>
      <c r="C1" s="27">
        <f>C32/1</f>
        <v>2006</v>
      </c>
      <c r="D1" s="27">
        <f>D32/1</f>
        <v>2007</v>
      </c>
      <c r="E1" s="27">
        <f t="shared" ref="E1:J1" si="0">E32/1</f>
        <v>2008</v>
      </c>
      <c r="F1" s="27">
        <f t="shared" si="0"/>
        <v>2009</v>
      </c>
      <c r="G1" s="27">
        <f t="shared" si="0"/>
        <v>2010</v>
      </c>
      <c r="H1" s="27">
        <f>H32/1</f>
        <v>2011</v>
      </c>
      <c r="I1" s="27">
        <f t="shared" si="0"/>
        <v>2012</v>
      </c>
      <c r="J1" s="27">
        <f t="shared" si="0"/>
        <v>2013</v>
      </c>
      <c r="K1" s="27">
        <f>K32/1</f>
        <v>2014</v>
      </c>
    </row>
    <row r="2" spans="1:12" ht="15.75" x14ac:dyDescent="0.25">
      <c r="C2" s="27"/>
      <c r="D2" s="27"/>
      <c r="E2" s="27"/>
      <c r="F2" s="27"/>
      <c r="G2" s="27"/>
      <c r="H2" s="27"/>
      <c r="I2" s="27"/>
      <c r="J2" s="27"/>
      <c r="K2" s="27"/>
    </row>
    <row r="3" spans="1:12" s="31" customFormat="1" ht="15.75" x14ac:dyDescent="0.25">
      <c r="A3" s="27" t="s">
        <v>176</v>
      </c>
      <c r="L3" s="73"/>
    </row>
    <row r="4" spans="1:12" s="31" customFormat="1" ht="12.75" x14ac:dyDescent="0.2">
      <c r="A4" s="28" t="s">
        <v>24</v>
      </c>
      <c r="C4" s="32">
        <f>Financials!E42</f>
        <v>93425</v>
      </c>
      <c r="D4" s="32">
        <f>Financials!F42</f>
        <v>97574</v>
      </c>
      <c r="E4" s="32">
        <f>Financials!G42</f>
        <v>95460</v>
      </c>
      <c r="F4" s="32">
        <f>Financials!H42</f>
        <v>98223</v>
      </c>
      <c r="G4" s="32">
        <f>Financials!I42</f>
        <v>107441</v>
      </c>
      <c r="H4" s="32">
        <f>Financials!J42</f>
        <v>109410.53500000003</v>
      </c>
      <c r="I4" s="32">
        <f>Financials!K42</f>
        <v>112043.58992075175</v>
      </c>
      <c r="J4" s="32">
        <f>Financials!L42</f>
        <v>106903.80783292346</v>
      </c>
      <c r="K4" s="32">
        <f>Financials!M42</f>
        <v>108717.87504187072</v>
      </c>
      <c r="L4" s="73"/>
    </row>
    <row r="5" spans="1:12" s="31" customFormat="1" ht="12.75" x14ac:dyDescent="0.2">
      <c r="A5" s="28" t="s">
        <v>168</v>
      </c>
      <c r="C5" s="32">
        <f>Financials!E34</f>
        <v>1631</v>
      </c>
      <c r="D5" s="32">
        <f>Financials!F34</f>
        <v>1355</v>
      </c>
      <c r="E5" s="32">
        <f>Financials!G34</f>
        <v>2276</v>
      </c>
      <c r="F5" s="32">
        <f>Financials!H34</f>
        <v>1214</v>
      </c>
      <c r="G5" s="32">
        <f>Financials!I34</f>
        <v>1549</v>
      </c>
      <c r="H5" s="32">
        <f>Financials!J34</f>
        <v>791</v>
      </c>
      <c r="I5" s="32">
        <f>Financials!K34</f>
        <v>993.7548588256559</v>
      </c>
      <c r="J5" s="32">
        <f>Financials!L34</f>
        <v>891.22679594045303</v>
      </c>
      <c r="K5" s="32">
        <f>Financials!M34</f>
        <v>977.39142548568816</v>
      </c>
      <c r="L5" s="73"/>
    </row>
    <row r="6" spans="1:12" s="31" customFormat="1" ht="12.75" x14ac:dyDescent="0.2">
      <c r="A6" s="28" t="s">
        <v>104</v>
      </c>
      <c r="C6" s="32">
        <f>Financials!E57</f>
        <v>185</v>
      </c>
      <c r="D6" s="32">
        <f>Financials!F57</f>
        <v>295</v>
      </c>
      <c r="E6" s="32">
        <f>Financials!G57</f>
        <v>331</v>
      </c>
      <c r="F6" s="32">
        <f>Financials!H57</f>
        <v>1355</v>
      </c>
      <c r="G6" s="32">
        <f>Financials!I57</f>
        <v>1236</v>
      </c>
      <c r="H6" s="32">
        <f>Financials!J57</f>
        <v>413.96245398539276</v>
      </c>
      <c r="I6" s="32">
        <f>Financials!K57</f>
        <v>579.0575</v>
      </c>
      <c r="J6" s="32">
        <f>Financials!L57</f>
        <v>120.19542589890656</v>
      </c>
      <c r="K6" s="32">
        <f>Financials!M57</f>
        <v>-146.62666666666667</v>
      </c>
      <c r="L6" s="73"/>
    </row>
    <row r="7" spans="1:12" s="31" customFormat="1" ht="12.75" x14ac:dyDescent="0.2">
      <c r="A7" s="28" t="s">
        <v>37</v>
      </c>
      <c r="C7" s="32">
        <f>Financials!E68</f>
        <v>8357</v>
      </c>
      <c r="D7" s="32">
        <f>Financials!F68</f>
        <v>8199</v>
      </c>
      <c r="E7" s="32">
        <f>Financials!G68</f>
        <v>9438</v>
      </c>
      <c r="F7" s="32">
        <f>Financials!H68</f>
        <v>9540</v>
      </c>
      <c r="G7" s="32">
        <f>Financials!I68</f>
        <v>9597</v>
      </c>
      <c r="H7" s="32">
        <f>Financials!J68</f>
        <v>9817.6149999999998</v>
      </c>
      <c r="I7" s="32">
        <f>Financials!K68</f>
        <v>9882.084000104167</v>
      </c>
      <c r="J7" s="32">
        <f>Financials!L68</f>
        <v>9261.1233002499994</v>
      </c>
      <c r="K7" s="32">
        <f>Financials!M68</f>
        <v>9392.1233002500012</v>
      </c>
      <c r="L7" s="73"/>
    </row>
    <row r="8" spans="1:12" s="31" customFormat="1" ht="12.75" x14ac:dyDescent="0.2">
      <c r="A8" s="29" t="s">
        <v>38</v>
      </c>
      <c r="C8" s="32">
        <f>Financials!E73</f>
        <v>-768</v>
      </c>
      <c r="D8" s="32">
        <f>Financials!F73</f>
        <v>-459</v>
      </c>
      <c r="E8" s="32">
        <f>Financials!G73</f>
        <v>-2666</v>
      </c>
      <c r="F8" s="32">
        <f>Financials!H73</f>
        <v>-863</v>
      </c>
      <c r="G8" s="32">
        <f>Financials!I73</f>
        <v>375</v>
      </c>
      <c r="H8" s="32">
        <f>Financials!J73</f>
        <v>2380.6702268946246</v>
      </c>
      <c r="I8" s="32">
        <f>Financials!K73</f>
        <v>4714.662950276761</v>
      </c>
      <c r="J8" s="32">
        <f>Financials!L73</f>
        <v>3782.4545289830276</v>
      </c>
      <c r="K8" s="32">
        <f>Financials!M73</f>
        <v>4244.6012303270109</v>
      </c>
      <c r="L8" s="73"/>
    </row>
    <row r="9" spans="1:12" s="31" customFormat="1" ht="12.75" x14ac:dyDescent="0.2">
      <c r="A9" s="29"/>
      <c r="C9" s="32"/>
      <c r="D9" s="32"/>
      <c r="E9" s="32"/>
      <c r="F9" s="32"/>
      <c r="G9" s="32"/>
      <c r="H9" s="32"/>
      <c r="I9" s="32"/>
      <c r="J9" s="32"/>
      <c r="K9" s="32"/>
      <c r="L9" s="73"/>
    </row>
    <row r="10" spans="1:12" s="31" customFormat="1" ht="15.75" x14ac:dyDescent="0.25">
      <c r="A10" s="27" t="s">
        <v>177</v>
      </c>
      <c r="C10" s="32"/>
      <c r="D10" s="32"/>
      <c r="E10" s="32"/>
      <c r="F10" s="32"/>
      <c r="G10" s="32"/>
      <c r="H10" s="32"/>
      <c r="I10" s="32"/>
      <c r="J10" s="32"/>
      <c r="K10" s="32"/>
      <c r="L10" s="73"/>
    </row>
    <row r="11" spans="1:12" s="31" customFormat="1" ht="12.75" x14ac:dyDescent="0.2">
      <c r="A11" s="31" t="s">
        <v>45</v>
      </c>
      <c r="C11" s="32">
        <f>Financials!E96</f>
        <v>488</v>
      </c>
      <c r="D11" s="32">
        <f>Financials!F96</f>
        <v>3812</v>
      </c>
      <c r="E11" s="32">
        <f>Financials!G96</f>
        <v>1637</v>
      </c>
      <c r="F11" s="32">
        <f>Financials!H96</f>
        <v>5185</v>
      </c>
      <c r="G11" s="32">
        <f>Financials!I96</f>
        <v>3008</v>
      </c>
      <c r="H11" s="32">
        <f>Financials!J96</f>
        <v>4882.0375460145924</v>
      </c>
      <c r="I11" s="32">
        <f>Financials!K96</f>
        <v>1536.037546014592</v>
      </c>
      <c r="J11" s="32">
        <f>Financials!L96</f>
        <v>2268.4303256285411</v>
      </c>
      <c r="K11" s="32">
        <f>Financials!M96</f>
        <v>8511.154856205565</v>
      </c>
      <c r="L11" s="73"/>
    </row>
    <row r="12" spans="1:12" s="31" customFormat="1" ht="12.75" x14ac:dyDescent="0.2">
      <c r="A12" s="31" t="s">
        <v>46</v>
      </c>
      <c r="C12" s="32">
        <f>Financials!E97</f>
        <v>20289</v>
      </c>
      <c r="D12" s="32">
        <f>Financials!F97</f>
        <v>15291</v>
      </c>
      <c r="E12" s="32">
        <f>Financials!G97</f>
        <v>12450</v>
      </c>
      <c r="F12" s="32">
        <f>Financials!H97</f>
        <v>9171</v>
      </c>
      <c r="G12" s="32">
        <f>Financials!I97</f>
        <v>9682</v>
      </c>
      <c r="H12" s="32">
        <f>Financials!J97</f>
        <v>10651</v>
      </c>
      <c r="I12" s="32">
        <f>Financials!K97</f>
        <v>11772</v>
      </c>
      <c r="J12" s="32">
        <f>Financials!L97</f>
        <v>12130</v>
      </c>
      <c r="K12" s="32">
        <f>Financials!M97</f>
        <v>12429</v>
      </c>
      <c r="L12" s="73"/>
    </row>
    <row r="13" spans="1:12" s="31" customFormat="1" ht="12.75" x14ac:dyDescent="0.2">
      <c r="A13" s="31" t="s">
        <v>47</v>
      </c>
      <c r="C13" s="32">
        <f>Financials!E99</f>
        <v>2548</v>
      </c>
      <c r="D13" s="32">
        <f>Financials!F99</f>
        <v>4664</v>
      </c>
      <c r="E13" s="32">
        <f>Financials!G99</f>
        <v>10193</v>
      </c>
      <c r="F13" s="32">
        <f>Financials!H99</f>
        <v>5968</v>
      </c>
      <c r="G13" s="32">
        <f>Financials!I99</f>
        <v>6559</v>
      </c>
      <c r="H13" s="32">
        <f>Financials!J99</f>
        <v>2422</v>
      </c>
      <c r="I13" s="32">
        <f>Financials!K99</f>
        <v>2171</v>
      </c>
      <c r="J13" s="32">
        <f>Financials!L99</f>
        <v>2096</v>
      </c>
      <c r="K13" s="32">
        <f>Financials!M99</f>
        <v>2097</v>
      </c>
      <c r="L13" s="73"/>
    </row>
    <row r="14" spans="1:12" s="31" customFormat="1" ht="12.75" x14ac:dyDescent="0.2">
      <c r="A14" s="31" t="s">
        <v>68</v>
      </c>
      <c r="C14" s="32">
        <f>Financials!E128</f>
        <v>38</v>
      </c>
      <c r="D14" s="32">
        <f>Financials!F128</f>
        <v>38</v>
      </c>
      <c r="E14" s="32">
        <f>Financials!G128</f>
        <v>38</v>
      </c>
      <c r="F14" s="32">
        <f>Financials!H128</f>
        <v>0</v>
      </c>
      <c r="G14" s="32">
        <f>Financials!I128</f>
        <v>0</v>
      </c>
      <c r="H14" s="32">
        <f>Financials!J128</f>
        <v>0</v>
      </c>
      <c r="I14" s="32">
        <f>Financials!K128</f>
        <v>0</v>
      </c>
      <c r="J14" s="32">
        <f>Financials!L128</f>
        <v>0</v>
      </c>
      <c r="K14" s="32">
        <f>Financials!M128</f>
        <v>0</v>
      </c>
      <c r="L14" s="73"/>
    </row>
    <row r="15" spans="1:12" s="31" customFormat="1" ht="12.75" x14ac:dyDescent="0.2">
      <c r="A15" s="31" t="s">
        <v>52</v>
      </c>
      <c r="C15" s="32">
        <f>Financials!E106</f>
        <v>1488</v>
      </c>
      <c r="D15" s="32">
        <f>Financials!F106</f>
        <v>1918</v>
      </c>
      <c r="E15" s="32">
        <f>Financials!G106</f>
        <v>2662</v>
      </c>
      <c r="F15" s="32">
        <f>Financials!H106</f>
        <v>0</v>
      </c>
      <c r="G15" s="32">
        <f>Financials!I106</f>
        <v>113</v>
      </c>
      <c r="H15" s="32">
        <f>Financials!J106</f>
        <v>0</v>
      </c>
      <c r="I15" s="32">
        <f>Financials!K106</f>
        <v>0</v>
      </c>
      <c r="J15" s="32">
        <f>Financials!L106</f>
        <v>0</v>
      </c>
      <c r="K15" s="32">
        <f>Financials!M106</f>
        <v>0</v>
      </c>
      <c r="L15" s="73"/>
    </row>
    <row r="16" spans="1:12" s="31" customFormat="1" ht="12.75" x14ac:dyDescent="0.2">
      <c r="A16" s="31" t="s">
        <v>53</v>
      </c>
      <c r="C16" s="32">
        <f>Financials!E107</f>
        <v>10829</v>
      </c>
      <c r="D16" s="32">
        <f>Financials!F107</f>
        <v>6576</v>
      </c>
      <c r="E16" s="32">
        <f>Financials!G107</f>
        <v>7245</v>
      </c>
      <c r="F16" s="32">
        <f>Financials!H107</f>
        <v>10477</v>
      </c>
      <c r="G16" s="32">
        <f>Financials!I107</f>
        <v>7669</v>
      </c>
      <c r="H16" s="32">
        <f>Financials!J107</f>
        <v>7070</v>
      </c>
      <c r="I16" s="32">
        <f>Financials!K107</f>
        <v>6820</v>
      </c>
      <c r="J16" s="32">
        <f>Financials!L107</f>
        <v>6820</v>
      </c>
      <c r="K16" s="32">
        <f>Financials!M107</f>
        <v>6820</v>
      </c>
      <c r="L16" s="73"/>
    </row>
    <row r="17" spans="1:12" s="31" customFormat="1" ht="12.75" x14ac:dyDescent="0.2">
      <c r="A17" s="31" t="s">
        <v>57</v>
      </c>
      <c r="C17" s="32">
        <f>Financials!E111</f>
        <v>3750</v>
      </c>
      <c r="D17" s="32">
        <f>Financials!F111</f>
        <v>9300</v>
      </c>
      <c r="E17" s="32">
        <f>Financials!G111</f>
        <v>14268</v>
      </c>
      <c r="F17" s="32">
        <f>Financials!H111</f>
        <v>19618</v>
      </c>
      <c r="G17" s="32">
        <f>Financials!I111</f>
        <v>2142</v>
      </c>
      <c r="H17" s="32">
        <f>Financials!J111</f>
        <v>0</v>
      </c>
      <c r="I17" s="32">
        <f>Financials!K111</f>
        <v>0</v>
      </c>
      <c r="J17" s="32">
        <f>Financials!L111</f>
        <v>0</v>
      </c>
      <c r="K17" s="32">
        <f>Financials!M111</f>
        <v>0</v>
      </c>
      <c r="L17" s="73"/>
    </row>
    <row r="18" spans="1:12" s="31" customFormat="1" ht="12.75" x14ac:dyDescent="0.2">
      <c r="A18" s="31" t="s">
        <v>58</v>
      </c>
      <c r="C18" s="32">
        <f>Financials!E112</f>
        <v>416</v>
      </c>
      <c r="D18" s="32">
        <f>Financials!F112</f>
        <v>179</v>
      </c>
      <c r="E18" s="32">
        <f>Financials!G112</f>
        <v>335</v>
      </c>
      <c r="F18" s="32">
        <f>Financials!H112</f>
        <v>297</v>
      </c>
      <c r="G18" s="32">
        <f>Financials!I112</f>
        <v>0</v>
      </c>
      <c r="H18" s="32">
        <f>Financials!J112</f>
        <v>38</v>
      </c>
      <c r="I18" s="32">
        <f>Financials!K112</f>
        <v>15</v>
      </c>
      <c r="J18" s="32">
        <f>Financials!L112</f>
        <v>0</v>
      </c>
      <c r="K18" s="32">
        <f>Financials!M112</f>
        <v>0</v>
      </c>
      <c r="L18" s="73"/>
    </row>
    <row r="19" spans="1:12" s="31" customFormat="1" ht="12.75" x14ac:dyDescent="0.2">
      <c r="A19" s="31" t="s">
        <v>75</v>
      </c>
      <c r="C19" s="32">
        <f>Financials!E137</f>
        <v>2000</v>
      </c>
      <c r="D19" s="32">
        <f>Financials!F137</f>
        <v>0</v>
      </c>
      <c r="E19" s="32">
        <f>Financials!G137</f>
        <v>0</v>
      </c>
      <c r="F19" s="32">
        <f>Financials!H137</f>
        <v>0</v>
      </c>
      <c r="G19" s="32">
        <f>Financials!I137</f>
        <v>4679</v>
      </c>
      <c r="H19" s="32">
        <f>Financials!J137</f>
        <v>4625</v>
      </c>
      <c r="I19" s="32">
        <f>Financials!K137</f>
        <v>6134.1850496190746</v>
      </c>
      <c r="J19" s="32">
        <f>Financials!L137</f>
        <v>1325</v>
      </c>
      <c r="K19" s="32">
        <f>Financials!M137</f>
        <v>1325</v>
      </c>
      <c r="L19" s="73"/>
    </row>
    <row r="20" spans="1:12" s="31" customFormat="1" ht="12.75" x14ac:dyDescent="0.2">
      <c r="A20" s="31" t="s">
        <v>76</v>
      </c>
      <c r="C20" s="32">
        <f>Financials!E138</f>
        <v>635</v>
      </c>
      <c r="D20" s="32">
        <f>Financials!F138</f>
        <v>135</v>
      </c>
      <c r="E20" s="32">
        <f>Financials!G138</f>
        <v>494</v>
      </c>
      <c r="F20" s="32">
        <f>Financials!H138</f>
        <v>196</v>
      </c>
      <c r="G20" s="32">
        <f>Financials!I138</f>
        <v>0</v>
      </c>
      <c r="H20" s="32">
        <f>Financials!J138</f>
        <v>16</v>
      </c>
      <c r="I20" s="32">
        <f>Financials!K138</f>
        <v>0</v>
      </c>
      <c r="J20" s="32">
        <f>Financials!L138</f>
        <v>0</v>
      </c>
      <c r="K20" s="32">
        <f>Financials!M138</f>
        <v>0</v>
      </c>
      <c r="L20" s="73"/>
    </row>
    <row r="21" spans="1:12" s="31" customFormat="1" ht="12.75" x14ac:dyDescent="0.2">
      <c r="A21" s="31" t="s">
        <v>66</v>
      </c>
      <c r="C21" s="32">
        <f>Financials!E125</f>
        <v>97491</v>
      </c>
      <c r="D21" s="32">
        <f>Financials!F125</f>
        <v>118706</v>
      </c>
      <c r="E21" s="32">
        <f>Financials!G125</f>
        <v>121697</v>
      </c>
      <c r="F21" s="32">
        <f>Financials!H125</f>
        <v>129599</v>
      </c>
      <c r="G21" s="32">
        <f>Financials!I125</f>
        <v>138285</v>
      </c>
      <c r="H21" s="32">
        <f>Financials!J125</f>
        <v>145946</v>
      </c>
      <c r="I21" s="32">
        <f>Financials!K125</f>
        <v>156283.84799989586</v>
      </c>
      <c r="J21" s="32">
        <f>Financials!L125</f>
        <v>154076.72469964583</v>
      </c>
      <c r="K21" s="32">
        <f>Financials!M125</f>
        <v>151678.60139939585</v>
      </c>
      <c r="L21" s="73"/>
    </row>
    <row r="22" spans="1:12" s="31" customFormat="1" ht="12.75" x14ac:dyDescent="0.2">
      <c r="A22" s="31" t="s">
        <v>84</v>
      </c>
      <c r="C22" s="32">
        <f>Financials!E149</f>
        <v>101042</v>
      </c>
      <c r="D22" s="32">
        <f>Financials!F149</f>
        <v>121986</v>
      </c>
      <c r="E22" s="32">
        <f>Financials!G149</f>
        <v>118804</v>
      </c>
      <c r="F22" s="32">
        <f>Financials!H149</f>
        <v>121292</v>
      </c>
      <c r="G22" s="32">
        <f>Financials!I149</f>
        <v>145057</v>
      </c>
      <c r="H22" s="32">
        <f>Financials!J149</f>
        <v>149043.87181689459</v>
      </c>
      <c r="I22" s="32">
        <f>Financials!K149</f>
        <v>156008.53476717137</v>
      </c>
      <c r="J22" s="32">
        <f>Financials!L149</f>
        <v>159790.98929615438</v>
      </c>
      <c r="K22" s="32">
        <f>Financials!M149</f>
        <v>164035.59052648139</v>
      </c>
      <c r="L22" s="73"/>
    </row>
    <row r="23" spans="1:12" s="31" customFormat="1" ht="12.75" x14ac:dyDescent="0.2">
      <c r="C23" s="32"/>
      <c r="D23" s="32"/>
      <c r="E23" s="32"/>
      <c r="F23" s="32"/>
      <c r="G23" s="32"/>
      <c r="H23" s="32"/>
      <c r="I23" s="32"/>
      <c r="J23" s="32"/>
      <c r="K23" s="32"/>
      <c r="L23" s="73"/>
    </row>
    <row r="24" spans="1:12" s="31" customFormat="1" ht="12.75" x14ac:dyDescent="0.2">
      <c r="A24" s="31" t="s">
        <v>90</v>
      </c>
      <c r="C24" s="32">
        <f>+Financials!E161</f>
        <v>2022</v>
      </c>
      <c r="D24" s="32">
        <f>+Financials!F161</f>
        <v>3282</v>
      </c>
      <c r="E24" s="32">
        <f>+Financials!G161</f>
        <v>3000</v>
      </c>
      <c r="F24" s="32">
        <f>+Financials!H161</f>
        <v>2400</v>
      </c>
      <c r="G24" s="32">
        <f>+Financials!I161</f>
        <v>2000</v>
      </c>
      <c r="H24" s="32">
        <f>+Financials!J161</f>
        <v>3700</v>
      </c>
      <c r="I24" s="32">
        <f>+Financials!K161</f>
        <v>1917</v>
      </c>
      <c r="J24" s="32">
        <f>+Financials!L161</f>
        <v>7000</v>
      </c>
      <c r="K24" s="32">
        <f>+Financials!M161</f>
        <v>7000</v>
      </c>
      <c r="L24" s="73"/>
    </row>
    <row r="25" spans="1:12" s="31" customFormat="1" ht="12.75" x14ac:dyDescent="0.2">
      <c r="L25" s="73"/>
    </row>
    <row r="26" spans="1:12" s="31" customFormat="1" ht="15.75" x14ac:dyDescent="0.25">
      <c r="A26" s="27" t="s">
        <v>178</v>
      </c>
      <c r="L26" s="73"/>
    </row>
    <row r="27" spans="1:12" s="31" customFormat="1" ht="12.75" x14ac:dyDescent="0.2">
      <c r="A27" s="31" t="s">
        <v>169</v>
      </c>
      <c r="C27" s="32">
        <f>Financials!E197</f>
        <v>94192</v>
      </c>
      <c r="D27" s="32">
        <f>Financials!F197</f>
        <v>91774</v>
      </c>
      <c r="E27" s="32">
        <f>Financials!G197</f>
        <v>91480</v>
      </c>
      <c r="F27" s="32">
        <f>Financials!H197</f>
        <v>103420</v>
      </c>
      <c r="G27" s="32">
        <f>Financials!I197</f>
        <v>106357</v>
      </c>
      <c r="H27" s="32">
        <f>Financials!J197</f>
        <v>111157.99999999999</v>
      </c>
      <c r="I27" s="32">
        <f>Financials!K197</f>
        <v>112044.58992075175</v>
      </c>
      <c r="J27" s="32">
        <f>Financials!L197</f>
        <v>106978.80783292347</v>
      </c>
      <c r="K27" s="32">
        <f>Financials!M197</f>
        <v>108717.87504187072</v>
      </c>
      <c r="L27" s="73"/>
    </row>
    <row r="28" spans="1:12" s="31" customFormat="1" ht="12.75" x14ac:dyDescent="0.2">
      <c r="A28" s="31" t="s">
        <v>170</v>
      </c>
      <c r="C28" s="32">
        <f>Financials!E203</f>
        <v>84507</v>
      </c>
      <c r="D28" s="32">
        <f>Financials!F203</f>
        <v>91270</v>
      </c>
      <c r="E28" s="32">
        <f>Financials!G203</f>
        <v>89134</v>
      </c>
      <c r="F28" s="32">
        <f>Financials!H203</f>
        <v>86440</v>
      </c>
      <c r="G28" s="32">
        <f>Financials!I203</f>
        <v>98108</v>
      </c>
      <c r="H28" s="32">
        <f>Financials!J203</f>
        <v>95346.962453985383</v>
      </c>
      <c r="I28" s="32">
        <f>Financials!K203</f>
        <v>97769.84297037081</v>
      </c>
      <c r="J28" s="32">
        <f>Financials!L203</f>
        <v>94010.230003690463</v>
      </c>
      <c r="K28" s="32">
        <f>Financials!M203</f>
        <v>95130.150511293701</v>
      </c>
      <c r="L28" s="73"/>
    </row>
    <row r="29" spans="1:12" s="31" customFormat="1" ht="12.75" x14ac:dyDescent="0.2">
      <c r="L29" s="73"/>
    </row>
    <row r="30" spans="1:12" x14ac:dyDescent="0.2">
      <c r="A30" s="34" t="s">
        <v>171</v>
      </c>
      <c r="C30" s="31"/>
      <c r="D30" s="31"/>
      <c r="E30" s="31"/>
      <c r="F30" s="31"/>
      <c r="G30" s="31"/>
      <c r="H30" s="31"/>
      <c r="I30" s="31"/>
      <c r="J30" s="31"/>
      <c r="K30" s="31"/>
      <c r="L30" s="74"/>
    </row>
    <row r="31" spans="1:12" ht="25.5" customHeight="1" x14ac:dyDescent="0.2">
      <c r="A31" s="37" t="s">
        <v>212</v>
      </c>
      <c r="C31" s="64" t="str">
        <f>IF(ISERROR(Financials!E8/1)=FALSE,Financials!E8&amp;" "&amp;Financials!E9,IF(ISERROR(MID(Financials!E7,1,4)/1)=FALSE,Financials!E7&amp;" Actual","Unclear"))</f>
        <v>2006 Actual</v>
      </c>
      <c r="D31" s="64" t="str">
        <f>IF(ISERROR(Financials!F8/1)=FALSE,Financials!F8&amp;" "&amp;Financials!F9,IF(ISERROR(MID(Financials!F7,1,4)/1)=FALSE,Financials!F7&amp;" Actual","Unclear"))</f>
        <v>2007 Actual</v>
      </c>
      <c r="E31" s="64" t="str">
        <f>IF(ISERROR(Financials!G8/1)=FALSE,Financials!G8&amp;" "&amp;Financials!G9,IF(ISERROR(MID(Financials!G7,1,4)/1)=FALSE,Financials!G7&amp;" Actual","Unclear"))</f>
        <v>2008 Actual</v>
      </c>
      <c r="F31" s="64" t="str">
        <f>IF(ISERROR(Financials!H8/1)=FALSE,Financials!H8&amp;" "&amp;Financials!H9,IF(ISERROR(MID(Financials!H7,1,4)/1)=FALSE,Financials!H7&amp;" Actual","Unclear"))</f>
        <v>2009 Actual</v>
      </c>
      <c r="G31" s="64" t="str">
        <f>IF(ISERROR(Financials!I8/1)=FALSE,Financials!I8&amp;" "&amp;Financials!I9,IF(ISERROR(MID(Financials!I7,1,4)/1)=FALSE,Financials!I7&amp;" Actual","Unclear"))</f>
        <v>2010A Actual</v>
      </c>
      <c r="H31" s="64" t="str">
        <f>IF(ISERROR(Financials!J8/1)=FALSE,Financials!J8&amp;" "&amp;Financials!J9,IF(ISERROR(MID(Financials!J7,1,4)/1)=FALSE,Financials!J7&amp;" Actual","Unclear"))</f>
        <v>2011 Projection</v>
      </c>
      <c r="I31" s="64" t="str">
        <f>IF(ISERROR(Financials!K8/1)=FALSE,Financials!K8&amp;" "&amp;Financials!K9,IF(ISERROR(MID(Financials!K7,1,4)/1)=FALSE,Financials!K7&amp;" Actual","Unclear"))</f>
        <v>2012 Projection</v>
      </c>
      <c r="J31" s="64" t="str">
        <f>IF(ISERROR(Financials!L8/1)=FALSE,Financials!L8&amp;" "&amp;Financials!L9,IF(ISERROR(MID(Financials!L7,1,4)/1)=FALSE,Financials!L7&amp;" Actual","Unclear"))</f>
        <v>2013 Projection</v>
      </c>
      <c r="K31" s="64" t="str">
        <f>IF(ISERROR(Financials!M8/1)=FALSE,Financials!M8&amp;" "&amp;Financials!M9,IF(ISERROR(MID(Financials!M7,1,4)/1)=FALSE,Financials!M7&amp;" Actual","Unclear"))</f>
        <v>2014 Projection</v>
      </c>
      <c r="L31" s="73"/>
    </row>
    <row r="32" spans="1:12" x14ac:dyDescent="0.2">
      <c r="A32" s="37" t="s">
        <v>204</v>
      </c>
      <c r="C32" s="258">
        <f t="shared" ref="C32:K32" si="1">MID(C31,1,4)/1</f>
        <v>2006</v>
      </c>
      <c r="D32" s="258">
        <f t="shared" si="1"/>
        <v>2007</v>
      </c>
      <c r="E32" s="258">
        <f t="shared" si="1"/>
        <v>2008</v>
      </c>
      <c r="F32" s="258">
        <f t="shared" si="1"/>
        <v>2009</v>
      </c>
      <c r="G32" s="258">
        <f t="shared" si="1"/>
        <v>2010</v>
      </c>
      <c r="H32" s="258">
        <f t="shared" si="1"/>
        <v>2011</v>
      </c>
      <c r="I32" s="258">
        <f t="shared" si="1"/>
        <v>2012</v>
      </c>
      <c r="J32" s="258">
        <f t="shared" si="1"/>
        <v>2013</v>
      </c>
      <c r="K32" s="258">
        <f t="shared" si="1"/>
        <v>2014</v>
      </c>
      <c r="L32" s="74"/>
    </row>
    <row r="33" spans="1:12" x14ac:dyDescent="0.2">
      <c r="A33" s="31" t="s">
        <v>172</v>
      </c>
      <c r="C33" s="259" t="s">
        <v>174</v>
      </c>
      <c r="D33" s="259" t="s">
        <v>174</v>
      </c>
      <c r="E33" s="259" t="s">
        <v>174</v>
      </c>
      <c r="F33" s="259" t="s">
        <v>174</v>
      </c>
      <c r="G33" s="259" t="s">
        <v>174</v>
      </c>
      <c r="H33" s="259" t="s">
        <v>174</v>
      </c>
      <c r="I33" s="259" t="s">
        <v>173</v>
      </c>
      <c r="J33" s="259" t="s">
        <v>173</v>
      </c>
      <c r="K33" s="259" t="s">
        <v>173</v>
      </c>
      <c r="L33" s="74"/>
    </row>
    <row r="34" spans="1:12" x14ac:dyDescent="0.2">
      <c r="A34" s="31" t="s">
        <v>181</v>
      </c>
      <c r="C34" s="259" t="s">
        <v>174</v>
      </c>
      <c r="D34" s="259" t="s">
        <v>174</v>
      </c>
      <c r="E34" s="259" t="s">
        <v>174</v>
      </c>
      <c r="F34" s="259" t="s">
        <v>174</v>
      </c>
      <c r="G34" s="259" t="s">
        <v>173</v>
      </c>
      <c r="H34" s="259" t="s">
        <v>173</v>
      </c>
      <c r="I34" s="259" t="s">
        <v>174</v>
      </c>
      <c r="J34" s="259" t="s">
        <v>174</v>
      </c>
      <c r="K34" s="259" t="s">
        <v>174</v>
      </c>
      <c r="L34" s="74"/>
    </row>
    <row r="35" spans="1:12" x14ac:dyDescent="0.2">
      <c r="A35" s="31" t="s">
        <v>419</v>
      </c>
      <c r="C35" s="348"/>
      <c r="D35" s="348"/>
      <c r="E35" s="348"/>
      <c r="F35" s="348"/>
      <c r="G35" s="348">
        <v>27159</v>
      </c>
      <c r="H35" s="348">
        <v>27878</v>
      </c>
      <c r="I35" s="348"/>
      <c r="J35" s="348"/>
      <c r="K35" s="348"/>
      <c r="L35" s="74"/>
    </row>
    <row r="36" spans="1:12" x14ac:dyDescent="0.2">
      <c r="A36" s="31" t="s">
        <v>420</v>
      </c>
      <c r="C36" s="348"/>
      <c r="D36" s="348"/>
      <c r="E36" s="348"/>
      <c r="F36" s="348"/>
      <c r="G36" s="348">
        <v>27054</v>
      </c>
      <c r="H36" s="348">
        <v>28536</v>
      </c>
      <c r="I36" s="348"/>
      <c r="J36" s="348"/>
      <c r="K36" s="348"/>
      <c r="L36" s="74"/>
    </row>
    <row r="37" spans="1:12" x14ac:dyDescent="0.2">
      <c r="A37" s="31" t="s">
        <v>421</v>
      </c>
      <c r="C37" s="260"/>
      <c r="D37" s="260"/>
      <c r="E37" s="260"/>
      <c r="F37" s="260"/>
      <c r="G37" s="260">
        <v>248040.3</v>
      </c>
      <c r="H37" s="260">
        <v>255856</v>
      </c>
      <c r="I37" s="260"/>
      <c r="J37" s="260"/>
      <c r="K37" s="260"/>
      <c r="L37" s="74"/>
    </row>
    <row r="38" spans="1:12" x14ac:dyDescent="0.2">
      <c r="A38" s="31" t="s">
        <v>422</v>
      </c>
      <c r="C38" s="260"/>
      <c r="D38" s="260"/>
      <c r="E38" s="260"/>
      <c r="F38" s="260"/>
      <c r="G38" s="260">
        <v>246517.4</v>
      </c>
      <c r="H38" s="260">
        <v>260148.3</v>
      </c>
      <c r="I38" s="260"/>
      <c r="J38" s="260"/>
      <c r="K38" s="260"/>
      <c r="L38" s="74"/>
    </row>
    <row r="39" spans="1:12" x14ac:dyDescent="0.2">
      <c r="A39" s="31" t="s">
        <v>423</v>
      </c>
      <c r="B39" s="31"/>
      <c r="C39" s="264" t="str">
        <f t="shared" ref="C39:K39" si="2">IF(C35&gt;0,C36/C35,"")</f>
        <v/>
      </c>
      <c r="D39" s="264" t="str">
        <f t="shared" si="2"/>
        <v/>
      </c>
      <c r="E39" s="264" t="str">
        <f t="shared" si="2"/>
        <v/>
      </c>
      <c r="F39" s="264" t="str">
        <f t="shared" si="2"/>
        <v/>
      </c>
      <c r="G39" s="264">
        <f t="shared" si="2"/>
        <v>0.99613387827239586</v>
      </c>
      <c r="H39" s="264">
        <f t="shared" si="2"/>
        <v>1.023602840949853</v>
      </c>
      <c r="I39" s="264" t="str">
        <f t="shared" si="2"/>
        <v/>
      </c>
      <c r="J39" s="264" t="str">
        <f t="shared" si="2"/>
        <v/>
      </c>
      <c r="K39" s="264" t="str">
        <f t="shared" si="2"/>
        <v/>
      </c>
      <c r="L39" s="74"/>
    </row>
    <row r="40" spans="1:12" x14ac:dyDescent="0.2">
      <c r="A40" s="31" t="s">
        <v>424</v>
      </c>
      <c r="C40" s="264" t="str">
        <f t="shared" ref="C40:K40" si="3">IF(C37&gt;0,C38/C37,"")</f>
        <v/>
      </c>
      <c r="D40" s="264" t="str">
        <f t="shared" si="3"/>
        <v/>
      </c>
      <c r="E40" s="264" t="str">
        <f t="shared" si="3"/>
        <v/>
      </c>
      <c r="F40" s="264" t="str">
        <f t="shared" si="3"/>
        <v/>
      </c>
      <c r="G40" s="264">
        <f t="shared" si="3"/>
        <v>0.99386027189936477</v>
      </c>
      <c r="H40" s="264">
        <f t="shared" si="3"/>
        <v>1.0167762335063473</v>
      </c>
      <c r="I40" s="264" t="str">
        <f t="shared" si="3"/>
        <v/>
      </c>
      <c r="J40" s="264" t="str">
        <f t="shared" si="3"/>
        <v/>
      </c>
      <c r="K40" s="264" t="str">
        <f t="shared" si="3"/>
        <v/>
      </c>
      <c r="L40" s="74"/>
    </row>
    <row r="41" spans="1:12" x14ac:dyDescent="0.2">
      <c r="A41" s="31" t="s">
        <v>265</v>
      </c>
      <c r="C41" s="93">
        <f>SUM(Financials!E$283:E$286)</f>
        <v>6088</v>
      </c>
      <c r="D41" s="93">
        <f>SUM(Financials!F$283:F$286)</f>
        <v>9215</v>
      </c>
      <c r="E41" s="93">
        <f>SUM(Financials!G$283:G$286)</f>
        <v>7928</v>
      </c>
      <c r="F41" s="93">
        <f>SUM(Financials!H$283:H$286)</f>
        <v>7568</v>
      </c>
      <c r="G41" s="93">
        <f>SUM(Financials!I$283:I$286)</f>
        <v>7688</v>
      </c>
      <c r="H41" s="93">
        <f>SUM(Financials!J$283:J$286)</f>
        <v>7608.5</v>
      </c>
      <c r="I41" s="93">
        <f>SUM(Financials!K$283:K$286)</f>
        <v>7789.5</v>
      </c>
      <c r="J41" s="93">
        <f>SUM(Financials!L$283:L$286)</f>
        <v>7454</v>
      </c>
      <c r="K41" s="93">
        <f>SUM(Financials!M$283:M$286)</f>
        <v>7424</v>
      </c>
      <c r="L41" s="74"/>
    </row>
    <row r="42" spans="1:12" x14ac:dyDescent="0.2">
      <c r="A42" s="31" t="str">
        <f>MIN(Report!$E$6:$E$10)-4&amp;" Average Viability score"&amp;IF(ISERROR(VLOOKUP(MIN(Report!$E$6:$E$10)-4,Var!$A$4:$B$24,2,FALSE))=TRUE," - Required"," - Leaving blank is ok")</f>
        <v>2006 Average Viability score - Leaving blank is ok</v>
      </c>
      <c r="C42" s="57"/>
      <c r="D42" s="31"/>
      <c r="E42" s="31"/>
      <c r="F42" s="31"/>
      <c r="G42" s="31"/>
      <c r="H42" s="31"/>
      <c r="I42" s="31"/>
      <c r="J42" s="31"/>
      <c r="K42" s="31"/>
      <c r="L42" s="74"/>
    </row>
    <row r="43" spans="1:12" x14ac:dyDescent="0.2">
      <c r="A43" s="31" t="str">
        <f>MIN(Report!$E$6:$E$10)-3&amp;" Average Viability score"&amp;IF(ISERROR(VLOOKUP(MIN(Report!$E$6:$E$10)-3,Var!$A$4:$B$24,2,FALSE))=TRUE," - Required"," - Leaving blank is ok")</f>
        <v>2007 Average Viability score - Leaving blank is ok</v>
      </c>
      <c r="C43" s="57"/>
      <c r="D43" s="31"/>
      <c r="E43" s="31"/>
      <c r="F43" s="31"/>
      <c r="G43" s="31"/>
      <c r="H43" s="31"/>
      <c r="I43" s="31"/>
      <c r="J43" s="31"/>
      <c r="K43" s="31"/>
      <c r="L43" s="74"/>
    </row>
    <row r="44" spans="1:12" x14ac:dyDescent="0.2">
      <c r="A44" s="31" t="str">
        <f>MIN(Report!$E$6:$E$10)-2&amp;" Average Viability score"&amp;IF(ISERROR(VLOOKUP(MIN(Report!$E$6:$E$10)-2,Var!$A$4:$B$24,2,FALSE))=TRUE," - Required"," - Leaving blank is ok")</f>
        <v>2008 Average Viability score - Leaving blank is ok</v>
      </c>
      <c r="C44" s="57"/>
      <c r="D44" s="31"/>
      <c r="E44" s="31"/>
      <c r="F44" s="31"/>
      <c r="G44" s="31"/>
      <c r="H44" s="31"/>
      <c r="I44" s="31"/>
      <c r="J44" s="31"/>
      <c r="K44" s="31"/>
      <c r="L44" s="74"/>
    </row>
    <row r="45" spans="1:12" x14ac:dyDescent="0.2">
      <c r="A45" s="31" t="str">
        <f>MIN(Report!$E$6:$E$10)-1&amp;" Average Viability score"&amp;IF(ISERROR(VLOOKUP(MIN(Report!$E$6:$E$10)-1,Var!$A$4:$B$24,2,FALSE))=TRUE," - Required"," - Leaving blank is ok")</f>
        <v>2009 Average Viability score - Leaving blank is ok</v>
      </c>
      <c r="C45" s="57"/>
      <c r="D45" s="31"/>
      <c r="E45" s="31"/>
      <c r="F45" s="31"/>
      <c r="G45" s="31"/>
      <c r="H45" s="31"/>
      <c r="I45" s="31"/>
      <c r="J45" s="31"/>
      <c r="K45" s="31"/>
      <c r="L45" s="74"/>
    </row>
    <row r="46" spans="1:12" x14ac:dyDescent="0.2">
      <c r="A46" s="31"/>
      <c r="C46" s="31"/>
      <c r="D46" s="31"/>
      <c r="E46" s="31"/>
      <c r="F46" s="31"/>
      <c r="G46" s="31"/>
      <c r="H46" s="31"/>
      <c r="I46" s="31"/>
      <c r="J46" s="31"/>
      <c r="K46" s="31"/>
      <c r="L46" s="74"/>
    </row>
    <row r="47" spans="1:12" x14ac:dyDescent="0.2">
      <c r="A47" s="34" t="s">
        <v>512</v>
      </c>
      <c r="C47" s="322">
        <f>+C32</f>
        <v>2006</v>
      </c>
      <c r="D47" s="322">
        <f t="shared" ref="D47:K47" si="4">+D32</f>
        <v>2007</v>
      </c>
      <c r="E47" s="322">
        <f t="shared" si="4"/>
        <v>2008</v>
      </c>
      <c r="F47" s="322">
        <f t="shared" si="4"/>
        <v>2009</v>
      </c>
      <c r="G47" s="322">
        <f t="shared" si="4"/>
        <v>2010</v>
      </c>
      <c r="H47" s="322">
        <f t="shared" si="4"/>
        <v>2011</v>
      </c>
      <c r="I47" s="322">
        <f t="shared" si="4"/>
        <v>2012</v>
      </c>
      <c r="J47" s="322">
        <f t="shared" si="4"/>
        <v>2013</v>
      </c>
      <c r="K47" s="322">
        <f t="shared" si="4"/>
        <v>2014</v>
      </c>
      <c r="L47" s="74"/>
    </row>
    <row r="48" spans="1:12" x14ac:dyDescent="0.2">
      <c r="A48" s="319" t="s">
        <v>518</v>
      </c>
      <c r="C48" s="325" t="str">
        <f t="shared" ref="C48:J48" si="5">IF(C110-3%&lt;0,"No","Yes")</f>
        <v>No</v>
      </c>
      <c r="D48" s="326" t="str">
        <f t="shared" si="5"/>
        <v>No</v>
      </c>
      <c r="E48" s="326" t="str">
        <f t="shared" si="5"/>
        <v>No</v>
      </c>
      <c r="F48" s="326" t="str">
        <f t="shared" si="5"/>
        <v>No</v>
      </c>
      <c r="G48" s="326" t="str">
        <f t="shared" si="5"/>
        <v>No</v>
      </c>
      <c r="H48" s="326" t="str">
        <f t="shared" si="5"/>
        <v>No</v>
      </c>
      <c r="I48" s="326" t="str">
        <f t="shared" si="5"/>
        <v>Yes</v>
      </c>
      <c r="J48" s="326" t="str">
        <f t="shared" si="5"/>
        <v>Yes</v>
      </c>
      <c r="K48" s="327" t="str">
        <f>IF(K110-3%&lt;0,"No","Yes")</f>
        <v>Yes</v>
      </c>
      <c r="L48" s="74"/>
    </row>
    <row r="49" spans="1:12" x14ac:dyDescent="0.2">
      <c r="A49" s="319" t="s">
        <v>515</v>
      </c>
      <c r="C49" s="328" t="str">
        <f t="shared" ref="C49:J49" si="6">IF(C112-111%&gt;0,"Yes","No")</f>
        <v>Yes</v>
      </c>
      <c r="D49" s="329" t="str">
        <f t="shared" si="6"/>
        <v>No</v>
      </c>
      <c r="E49" s="329" t="str">
        <f t="shared" si="6"/>
        <v>No</v>
      </c>
      <c r="F49" s="329" t="str">
        <f t="shared" si="6"/>
        <v>Yes</v>
      </c>
      <c r="G49" s="329" t="str">
        <f t="shared" si="6"/>
        <v>No</v>
      </c>
      <c r="H49" s="329" t="str">
        <f t="shared" si="6"/>
        <v>Yes</v>
      </c>
      <c r="I49" s="329" t="str">
        <f t="shared" si="6"/>
        <v>Yes</v>
      </c>
      <c r="J49" s="329" t="str">
        <f t="shared" si="6"/>
        <v>Yes</v>
      </c>
      <c r="K49" s="330" t="str">
        <f>IF(K112-111%&gt;0,"Yes","No")</f>
        <v>Yes</v>
      </c>
      <c r="L49" s="74"/>
    </row>
    <row r="50" spans="1:12" x14ac:dyDescent="0.2">
      <c r="A50" s="350" t="s">
        <v>520</v>
      </c>
      <c r="C50" s="331">
        <f>(C11+C12+C14+C53-IF(C33="No",C15,0))/C28</f>
        <v>0.25236962618481307</v>
      </c>
      <c r="D50" s="332">
        <f t="shared" ref="D50:K50" si="7">(D11+D12+D14+D53-IF(D33="No",D15,0))/D28</f>
        <v>0.21061685110112852</v>
      </c>
      <c r="E50" s="332">
        <f t="shared" si="7"/>
        <v>0.15104225099288712</v>
      </c>
      <c r="F50" s="332">
        <f t="shared" si="7"/>
        <v>0.18921795465062471</v>
      </c>
      <c r="G50" s="332">
        <f t="shared" si="7"/>
        <v>0.14858115546132833</v>
      </c>
      <c r="H50" s="332">
        <f t="shared" si="7"/>
        <v>0.18388669229474475</v>
      </c>
      <c r="I50" s="332">
        <f t="shared" si="7"/>
        <v>0.15657218096027523</v>
      </c>
      <c r="J50" s="332">
        <f t="shared" si="7"/>
        <v>0.17443240299470394</v>
      </c>
      <c r="K50" s="333">
        <f t="shared" si="7"/>
        <v>0.24114494440416287</v>
      </c>
      <c r="L50" s="74"/>
    </row>
    <row r="51" spans="1:12" x14ac:dyDescent="0.2">
      <c r="A51" s="321" t="s">
        <v>519</v>
      </c>
      <c r="C51" s="334" t="str">
        <f t="shared" ref="C51:J51" si="8">IF(C50-8%&lt;0,"No","Yes")</f>
        <v>Yes</v>
      </c>
      <c r="D51" s="335" t="str">
        <f t="shared" si="8"/>
        <v>Yes</v>
      </c>
      <c r="E51" s="335" t="str">
        <f t="shared" si="8"/>
        <v>Yes</v>
      </c>
      <c r="F51" s="335" t="str">
        <f t="shared" si="8"/>
        <v>Yes</v>
      </c>
      <c r="G51" s="335" t="str">
        <f t="shared" si="8"/>
        <v>Yes</v>
      </c>
      <c r="H51" s="335" t="str">
        <f t="shared" si="8"/>
        <v>Yes</v>
      </c>
      <c r="I51" s="335" t="str">
        <f t="shared" si="8"/>
        <v>Yes</v>
      </c>
      <c r="J51" s="335" t="str">
        <f t="shared" si="8"/>
        <v>Yes</v>
      </c>
      <c r="K51" s="336" t="str">
        <f>IF(K50-8%&lt;0,"No","Yes")</f>
        <v>Yes</v>
      </c>
      <c r="L51" s="74"/>
    </row>
    <row r="52" spans="1:12" x14ac:dyDescent="0.2">
      <c r="A52" s="319" t="s">
        <v>514</v>
      </c>
      <c r="C52" s="259" t="s">
        <v>174</v>
      </c>
      <c r="D52" s="259" t="s">
        <v>174</v>
      </c>
      <c r="E52" s="259" t="s">
        <v>174</v>
      </c>
      <c r="F52" s="259" t="s">
        <v>174</v>
      </c>
      <c r="G52" s="259" t="s">
        <v>174</v>
      </c>
      <c r="H52" s="259" t="s">
        <v>174</v>
      </c>
      <c r="I52" s="259" t="s">
        <v>174</v>
      </c>
      <c r="J52" s="259" t="s">
        <v>174</v>
      </c>
      <c r="K52" s="259" t="s">
        <v>174</v>
      </c>
      <c r="L52" s="74"/>
    </row>
    <row r="53" spans="1:12" ht="15.75" x14ac:dyDescent="0.25">
      <c r="A53" s="320" t="s">
        <v>524</v>
      </c>
      <c r="C53" s="260">
        <v>2000</v>
      </c>
      <c r="D53" s="260">
        <v>2000</v>
      </c>
      <c r="E53" s="260">
        <v>2000</v>
      </c>
      <c r="F53" s="260">
        <v>2000</v>
      </c>
      <c r="G53" s="260">
        <v>2000</v>
      </c>
      <c r="H53" s="260">
        <v>2000</v>
      </c>
      <c r="I53" s="260">
        <v>2000</v>
      </c>
      <c r="J53" s="260">
        <v>2000</v>
      </c>
      <c r="K53" s="260">
        <v>2000</v>
      </c>
      <c r="L53" s="74"/>
    </row>
    <row r="54" spans="1:12" ht="28.5" x14ac:dyDescent="0.2">
      <c r="A54" s="351" t="s">
        <v>513</v>
      </c>
      <c r="C54" s="259" t="s">
        <v>174</v>
      </c>
      <c r="D54" s="259" t="s">
        <v>174</v>
      </c>
      <c r="E54" s="259" t="s">
        <v>174</v>
      </c>
      <c r="F54" s="259" t="s">
        <v>174</v>
      </c>
      <c r="G54" s="259" t="s">
        <v>174</v>
      </c>
      <c r="H54" s="259" t="s">
        <v>174</v>
      </c>
      <c r="I54" s="259" t="s">
        <v>174</v>
      </c>
      <c r="J54" s="259" t="s">
        <v>174</v>
      </c>
      <c r="K54" s="259" t="s">
        <v>174</v>
      </c>
      <c r="L54" s="74"/>
    </row>
    <row r="55" spans="1:12" x14ac:dyDescent="0.2">
      <c r="A55" s="317"/>
      <c r="C55" s="317"/>
      <c r="D55" s="317"/>
      <c r="E55" s="317"/>
      <c r="F55" s="317"/>
      <c r="G55" s="317"/>
      <c r="H55" s="317"/>
      <c r="I55" s="317"/>
      <c r="J55" s="317"/>
      <c r="K55" s="317"/>
      <c r="L55" s="74"/>
    </row>
    <row r="56" spans="1:12" x14ac:dyDescent="0.2">
      <c r="A56" s="317" t="s">
        <v>518</v>
      </c>
      <c r="C56" s="337" t="s">
        <v>522</v>
      </c>
      <c r="D56" s="338" t="s">
        <v>522</v>
      </c>
      <c r="E56" s="339" t="str">
        <f t="shared" ref="E56:J56" si="9">IF(E48="Yes",IF(D48="yes",IF(C48="yes","OK","Prior Yr below"),"Prior Yr below"),"This Yr Below")</f>
        <v>This Yr Below</v>
      </c>
      <c r="F56" s="339" t="str">
        <f t="shared" si="9"/>
        <v>This Yr Below</v>
      </c>
      <c r="G56" s="339" t="str">
        <f t="shared" si="9"/>
        <v>This Yr Below</v>
      </c>
      <c r="H56" s="339" t="str">
        <f t="shared" si="9"/>
        <v>This Yr Below</v>
      </c>
      <c r="I56" s="339" t="str">
        <f t="shared" si="9"/>
        <v>Prior Yr below</v>
      </c>
      <c r="J56" s="339" t="str">
        <f t="shared" si="9"/>
        <v>Prior Yr below</v>
      </c>
      <c r="K56" s="340" t="str">
        <f>IF(K48="Yes",IF(J48="yes",IF(I48="yes","OK","Prior Yr below"),"Prior Yr below"),"This Yr Below")</f>
        <v>OK</v>
      </c>
      <c r="L56" s="74"/>
    </row>
    <row r="57" spans="1:12" x14ac:dyDescent="0.2">
      <c r="A57" s="317" t="s">
        <v>515</v>
      </c>
      <c r="C57" s="341" t="s">
        <v>522</v>
      </c>
      <c r="D57" s="342" t="s">
        <v>522</v>
      </c>
      <c r="E57" s="343" t="str">
        <f t="shared" ref="E57:J57" si="10">IF(E49="Yes",IF(D49="yes",IF(C49="yes","OK","Prior Yr below"),"Prior Yr below"),"This Yr Below")</f>
        <v>This Yr Below</v>
      </c>
      <c r="F57" s="343" t="str">
        <f t="shared" si="10"/>
        <v>Prior Yr below</v>
      </c>
      <c r="G57" s="343" t="str">
        <f t="shared" si="10"/>
        <v>This Yr Below</v>
      </c>
      <c r="H57" s="343" t="str">
        <f t="shared" si="10"/>
        <v>Prior Yr below</v>
      </c>
      <c r="I57" s="343" t="str">
        <f t="shared" si="10"/>
        <v>Prior Yr below</v>
      </c>
      <c r="J57" s="343" t="str">
        <f t="shared" si="10"/>
        <v>OK</v>
      </c>
      <c r="K57" s="344" t="str">
        <f>IF(K49="Yes",IF(J49="yes",IF(I49="yes","OK","Prior Yr below"),"Prior Yr below"),"This Yr Below")</f>
        <v>OK</v>
      </c>
      <c r="L57" s="74"/>
    </row>
    <row r="58" spans="1:12" x14ac:dyDescent="0.2">
      <c r="A58" s="317" t="s">
        <v>519</v>
      </c>
      <c r="C58" s="341" t="s">
        <v>522</v>
      </c>
      <c r="D58" s="342" t="s">
        <v>522</v>
      </c>
      <c r="E58" s="343" t="str">
        <f t="shared" ref="E58:J58" si="11">IF(E51="Yes",IF(D51="yes",IF(C51="yes","OK","Prior Yr below"),"Prior Yr below"),"This Yr Below")</f>
        <v>OK</v>
      </c>
      <c r="F58" s="343" t="str">
        <f t="shared" si="11"/>
        <v>OK</v>
      </c>
      <c r="G58" s="343" t="str">
        <f t="shared" si="11"/>
        <v>OK</v>
      </c>
      <c r="H58" s="343" t="str">
        <f t="shared" si="11"/>
        <v>OK</v>
      </c>
      <c r="I58" s="343" t="str">
        <f t="shared" si="11"/>
        <v>OK</v>
      </c>
      <c r="J58" s="343" t="str">
        <f t="shared" si="11"/>
        <v>OK</v>
      </c>
      <c r="K58" s="344" t="str">
        <f>IF(K51="Yes",IF(J51="yes",IF(I51="yes","OK","Prior Yr below"),"Prior Yr below"),"This Yr Below")</f>
        <v>OK</v>
      </c>
      <c r="L58" s="324"/>
    </row>
    <row r="59" spans="1:12" ht="25.5" x14ac:dyDescent="0.2">
      <c r="A59" s="318" t="s">
        <v>516</v>
      </c>
      <c r="C59" s="345" t="str">
        <f t="shared" ref="C59:K59" si="12">IF(C24-C53=0,"OK",IF(C24-C53&gt;0,"OK","Review"))</f>
        <v>OK</v>
      </c>
      <c r="D59" s="346" t="str">
        <f t="shared" si="12"/>
        <v>OK</v>
      </c>
      <c r="E59" s="346" t="str">
        <f t="shared" si="12"/>
        <v>OK</v>
      </c>
      <c r="F59" s="346" t="str">
        <f t="shared" si="12"/>
        <v>OK</v>
      </c>
      <c r="G59" s="346" t="str">
        <f t="shared" si="12"/>
        <v>OK</v>
      </c>
      <c r="H59" s="346" t="str">
        <f t="shared" si="12"/>
        <v>OK</v>
      </c>
      <c r="I59" s="346" t="str">
        <f t="shared" si="12"/>
        <v>Review</v>
      </c>
      <c r="J59" s="346" t="str">
        <f t="shared" si="12"/>
        <v>OK</v>
      </c>
      <c r="K59" s="347" t="str">
        <f t="shared" si="12"/>
        <v>OK</v>
      </c>
    </row>
    <row r="60" spans="1:12" x14ac:dyDescent="0.2">
      <c r="A60" s="31" t="s">
        <v>517</v>
      </c>
      <c r="C60" s="259" t="s">
        <v>174</v>
      </c>
      <c r="D60" s="259" t="s">
        <v>174</v>
      </c>
      <c r="E60" s="259" t="s">
        <v>174</v>
      </c>
      <c r="F60" s="259" t="s">
        <v>174</v>
      </c>
      <c r="G60" s="259" t="s">
        <v>174</v>
      </c>
      <c r="H60" s="259" t="s">
        <v>174</v>
      </c>
      <c r="I60" s="259" t="s">
        <v>174</v>
      </c>
      <c r="J60" s="259" t="s">
        <v>525</v>
      </c>
      <c r="K60" s="259" t="s">
        <v>525</v>
      </c>
      <c r="L60" s="74"/>
    </row>
    <row r="61" spans="1:12" x14ac:dyDescent="0.2">
      <c r="A61" s="31" t="s">
        <v>521</v>
      </c>
      <c r="C61" s="323"/>
      <c r="D61" s="323"/>
      <c r="E61" s="323"/>
      <c r="F61" s="323"/>
      <c r="G61" s="323"/>
      <c r="H61" s="323"/>
      <c r="I61" s="323"/>
      <c r="J61" s="323"/>
      <c r="K61" s="323"/>
      <c r="L61" s="74"/>
    </row>
    <row r="62" spans="1:12" x14ac:dyDescent="0.2">
      <c r="A62" s="31"/>
      <c r="C62" s="31"/>
      <c r="D62" s="31"/>
      <c r="E62" s="31"/>
      <c r="F62" s="31"/>
      <c r="G62" s="31"/>
      <c r="H62" s="31"/>
      <c r="I62" s="31"/>
      <c r="J62" s="31"/>
      <c r="K62" s="31"/>
      <c r="L62" s="74"/>
    </row>
    <row r="63" spans="1:12" x14ac:dyDescent="0.2">
      <c r="A63" s="31" t="s">
        <v>220</v>
      </c>
      <c r="C63" s="68" t="str">
        <f>VLOOKUP(C$32-4,Var!$A$3:$D$24,4,FALSE)</f>
        <v>N/a</v>
      </c>
      <c r="D63" s="68" t="str">
        <f>VLOOKUP(D$32-4,Var!$A$3:$D$24,4,FALSE)</f>
        <v>N/a</v>
      </c>
      <c r="E63" s="68" t="str">
        <f>VLOOKUP(E$32-4,Var!$A$3:$D$24,4,FALSE)</f>
        <v>N/a</v>
      </c>
      <c r="F63" s="68" t="str">
        <f>VLOOKUP(F$32-4,Var!$A$3:$D$24,4,FALSE)</f>
        <v>N/a</v>
      </c>
      <c r="G63" s="68">
        <f>VLOOKUP(G$32-4,Var!$A$3:$D$24,4,FALSE)</f>
        <v>1.5</v>
      </c>
      <c r="H63" s="68">
        <f>VLOOKUP(H$32-4,Var!$A$3:$D$24,4,FALSE)</f>
        <v>0.66666666666666663</v>
      </c>
      <c r="I63" s="68">
        <f>VLOOKUP(I$32-4,Var!$A$3:$D$24,4,FALSE)</f>
        <v>0.25</v>
      </c>
      <c r="J63" s="68">
        <f>VLOOKUP(J$32-4,Var!$A$3:$D$24,4,FALSE)</f>
        <v>1.8333333333333333</v>
      </c>
      <c r="K63" s="68">
        <f>VLOOKUP(K$32-4,Var!$A$3:$D$24,4,FALSE)</f>
        <v>2.25</v>
      </c>
      <c r="L63" s="74"/>
    </row>
    <row r="64" spans="1:12" x14ac:dyDescent="0.2">
      <c r="A64" s="31" t="s">
        <v>221</v>
      </c>
      <c r="C64" s="68" t="str">
        <f>VLOOKUP(C$32-3,Var!$A$3:$D$24,4,FALSE)</f>
        <v>N/a</v>
      </c>
      <c r="D64" s="68" t="str">
        <f>VLOOKUP(D$32-3,Var!$A$3:$D$24,4,FALSE)</f>
        <v>N/a</v>
      </c>
      <c r="E64" s="68" t="str">
        <f>VLOOKUP(E$32-3,Var!$A$3:$D$24,4,FALSE)</f>
        <v>N/a</v>
      </c>
      <c r="F64" s="68">
        <f>VLOOKUP(F$32-3,Var!$A$3:$D$24,4,FALSE)</f>
        <v>1.5</v>
      </c>
      <c r="G64" s="68">
        <f>VLOOKUP(G$32-3,Var!$A$3:$D$24,4,FALSE)</f>
        <v>0.66666666666666663</v>
      </c>
      <c r="H64" s="68">
        <f>VLOOKUP(H$32-3,Var!$A$3:$D$24,4,FALSE)</f>
        <v>0.25</v>
      </c>
      <c r="I64" s="68">
        <f>VLOOKUP(I$32-3,Var!$A$3:$D$24,4,FALSE)</f>
        <v>1.8333333333333333</v>
      </c>
      <c r="J64" s="68">
        <f>VLOOKUP(J$32-3,Var!$A$3:$D$24,4,FALSE)</f>
        <v>2.25</v>
      </c>
      <c r="K64" s="68">
        <f>VLOOKUP(K$32-3,Var!$A$3:$D$24,4,FALSE)</f>
        <v>4</v>
      </c>
      <c r="L64" s="74"/>
    </row>
    <row r="65" spans="1:12" x14ac:dyDescent="0.2">
      <c r="A65" s="31" t="s">
        <v>222</v>
      </c>
      <c r="C65" s="68" t="str">
        <f>VLOOKUP(C$32-2,Var!$A$3:$D$24,4,FALSE)</f>
        <v>N/a</v>
      </c>
      <c r="D65" s="68" t="str">
        <f>VLOOKUP(D$32-2,Var!$A$3:$D$24,4,FALSE)</f>
        <v>N/a</v>
      </c>
      <c r="E65" s="68">
        <f>VLOOKUP(E$32-2,Var!$A$3:$D$24,4,FALSE)</f>
        <v>1.5</v>
      </c>
      <c r="F65" s="68">
        <f>VLOOKUP(F$32-2,Var!$A$3:$D$24,4,FALSE)</f>
        <v>0.66666666666666663</v>
      </c>
      <c r="G65" s="68">
        <f>VLOOKUP(G$32-2,Var!$A$3:$D$24,4,FALSE)</f>
        <v>0.25</v>
      </c>
      <c r="H65" s="68">
        <f>VLOOKUP(H$32-2,Var!$A$3:$D$24,4,FALSE)</f>
        <v>1.8333333333333333</v>
      </c>
      <c r="I65" s="68">
        <f>VLOOKUP(I$32-2,Var!$A$3:$D$24,4,FALSE)</f>
        <v>2.25</v>
      </c>
      <c r="J65" s="68">
        <f>VLOOKUP(J$32-2,Var!$A$3:$D$24,4,FALSE)</f>
        <v>4</v>
      </c>
      <c r="K65" s="68">
        <f>VLOOKUP(K$32-2,Var!$A$3:$D$24,4,FALSE)</f>
        <v>3.8333333333333335</v>
      </c>
      <c r="L65" s="74"/>
    </row>
    <row r="66" spans="1:12" x14ac:dyDescent="0.2">
      <c r="A66" s="31" t="s">
        <v>223</v>
      </c>
      <c r="C66" s="68" t="str">
        <f>VLOOKUP(C$32-1,Var!$A$3:$D$24,4,FALSE)</f>
        <v>N/a</v>
      </c>
      <c r="D66" s="68">
        <f>VLOOKUP(D$32-1,Var!$A$3:$D$24,4,FALSE)</f>
        <v>1.5</v>
      </c>
      <c r="E66" s="68">
        <f>VLOOKUP(E$32-1,Var!$A$3:$D$24,4,FALSE)</f>
        <v>0.66666666666666663</v>
      </c>
      <c r="F66" s="68">
        <f>VLOOKUP(F$32-1,Var!$A$3:$D$24,4,FALSE)</f>
        <v>0.25</v>
      </c>
      <c r="G66" s="68">
        <f>VLOOKUP(G$32-1,Var!$A$3:$D$24,4,FALSE)</f>
        <v>1.8333333333333333</v>
      </c>
      <c r="H66" s="68">
        <f>VLOOKUP(H$32-1,Var!$A$3:$D$24,4,FALSE)</f>
        <v>2.25</v>
      </c>
      <c r="I66" s="68">
        <f>VLOOKUP(I$32-1,Var!$A$3:$D$24,4,FALSE)</f>
        <v>4</v>
      </c>
      <c r="J66" s="68">
        <f>VLOOKUP(J$32-1,Var!$A$3:$D$24,4,FALSE)</f>
        <v>3.8333333333333335</v>
      </c>
      <c r="K66" s="68">
        <f>VLOOKUP(K$32-1,Var!$A$3:$D$24,4,FALSE)</f>
        <v>4.333333333333333</v>
      </c>
      <c r="L66" s="74"/>
    </row>
    <row r="67" spans="1:12" x14ac:dyDescent="0.2">
      <c r="A67" s="31" t="s">
        <v>224</v>
      </c>
      <c r="C67" s="68">
        <f>VLOOKUP(C$32,Var!$A$3:$D$24,4,FALSE)</f>
        <v>1.5</v>
      </c>
      <c r="D67" s="68">
        <f>VLOOKUP(D$32,Var!$A$3:$D$24,4,FALSE)</f>
        <v>0.66666666666666663</v>
      </c>
      <c r="E67" s="68">
        <f>VLOOKUP(E$32,Var!$A$3:$D$24,4,FALSE)</f>
        <v>0.25</v>
      </c>
      <c r="F67" s="68">
        <f>VLOOKUP(F$32,Var!$A$3:$D$24,4,FALSE)</f>
        <v>1.8333333333333333</v>
      </c>
      <c r="G67" s="68">
        <f>VLOOKUP(G$32,Var!$A$3:$D$24,4,FALSE)</f>
        <v>2.25</v>
      </c>
      <c r="H67" s="68">
        <f>VLOOKUP(H$32,Var!$A$3:$D$24,4,FALSE)</f>
        <v>4</v>
      </c>
      <c r="I67" s="68">
        <f>VLOOKUP(I$32,Var!$A$3:$D$24,4,FALSE)</f>
        <v>3.8333333333333335</v>
      </c>
      <c r="J67" s="68">
        <f>VLOOKUP(J$32,Var!$A$3:$D$24,4,FALSE)</f>
        <v>4.333333333333333</v>
      </c>
      <c r="K67" s="68">
        <f>VLOOKUP(K$32,Var!$A$3:$D$24,4,FALSE)</f>
        <v>3.1666666666666665</v>
      </c>
      <c r="L67" s="74"/>
    </row>
    <row r="68" spans="1:12" x14ac:dyDescent="0.2">
      <c r="A68" s="31"/>
      <c r="C68" s="31"/>
      <c r="D68" s="31"/>
      <c r="E68" s="31"/>
      <c r="F68" s="31"/>
      <c r="G68" s="31"/>
      <c r="H68" s="31"/>
      <c r="I68" s="31"/>
      <c r="J68" s="31"/>
      <c r="K68" s="31"/>
      <c r="L68" s="74"/>
    </row>
    <row r="69" spans="1:12" x14ac:dyDescent="0.2">
      <c r="A69" s="31" t="s">
        <v>270</v>
      </c>
      <c r="C69" s="98" t="str">
        <f t="shared" ref="C69:K69" si="13">IF(COUNT(C$63:C$67)&lt;5,"NA",(C$66+C$67)/2+(((C$67+C$66)/2-(C$64+C$63)/2)/3)*-3.5)</f>
        <v>NA</v>
      </c>
      <c r="D69" s="98" t="str">
        <f t="shared" si="13"/>
        <v>NA</v>
      </c>
      <c r="E69" s="98" t="str">
        <f t="shared" si="13"/>
        <v>NA</v>
      </c>
      <c r="F69" s="98" t="str">
        <f t="shared" si="13"/>
        <v>NA</v>
      </c>
      <c r="G69" s="98">
        <f t="shared" si="13"/>
        <v>0.92361111111111116</v>
      </c>
      <c r="H69" s="98">
        <f t="shared" si="13"/>
        <v>1.3888888888889284E-2</v>
      </c>
      <c r="I69" s="98">
        <f t="shared" si="13"/>
        <v>0.5625</v>
      </c>
      <c r="J69" s="98">
        <f t="shared" si="13"/>
        <v>1.7013888888888888</v>
      </c>
      <c r="K69" s="98">
        <f t="shared" si="13"/>
        <v>3.020833333333333</v>
      </c>
      <c r="L69" s="74"/>
    </row>
    <row r="70" spans="1:12" x14ac:dyDescent="0.2">
      <c r="A70" s="31" t="s">
        <v>269</v>
      </c>
      <c r="C70" s="98" t="str">
        <f t="shared" ref="C70:K70" si="14">IF(COUNT(C$63:C$67)&lt;5,"NA",(C$66+C$67)/2+(((C$67+C$66)/2-(C$64+C$63)/2)/3)*-2.5)</f>
        <v>NA</v>
      </c>
      <c r="D70" s="98" t="str">
        <f t="shared" si="14"/>
        <v>NA</v>
      </c>
      <c r="E70" s="98" t="str">
        <f t="shared" si="14"/>
        <v>NA</v>
      </c>
      <c r="F70" s="98" t="str">
        <f t="shared" si="14"/>
        <v>NA</v>
      </c>
      <c r="G70" s="98">
        <f t="shared" si="14"/>
        <v>1.2430555555555554</v>
      </c>
      <c r="H70" s="98">
        <f t="shared" si="14"/>
        <v>0.90277777777777768</v>
      </c>
      <c r="I70" s="98">
        <f t="shared" si="14"/>
        <v>1.520833333333333</v>
      </c>
      <c r="J70" s="98">
        <f t="shared" si="14"/>
        <v>2.3819444444444446</v>
      </c>
      <c r="K70" s="98">
        <f t="shared" si="14"/>
        <v>3.2291666666666665</v>
      </c>
      <c r="L70" s="74"/>
    </row>
    <row r="71" spans="1:12" x14ac:dyDescent="0.2">
      <c r="A71" s="31" t="s">
        <v>268</v>
      </c>
      <c r="C71" s="98" t="str">
        <f t="shared" ref="C71:K71" si="15">IF(COUNT(C$63:C$67)&lt;5,"NA",(C$66+C$67)/2+(((C$67+C$66)/2-(C$64+C$63)/2)/3)*-1.5)</f>
        <v>NA</v>
      </c>
      <c r="D71" s="98" t="str">
        <f t="shared" si="15"/>
        <v>NA</v>
      </c>
      <c r="E71" s="98" t="str">
        <f t="shared" si="15"/>
        <v>NA</v>
      </c>
      <c r="F71" s="98" t="str">
        <f t="shared" si="15"/>
        <v>NA</v>
      </c>
      <c r="G71" s="98">
        <f t="shared" si="15"/>
        <v>1.5625</v>
      </c>
      <c r="H71" s="98">
        <f t="shared" si="15"/>
        <v>1.7916666666666667</v>
      </c>
      <c r="I71" s="98">
        <f t="shared" si="15"/>
        <v>2.479166666666667</v>
      </c>
      <c r="J71" s="98">
        <f t="shared" si="15"/>
        <v>3.0625</v>
      </c>
      <c r="K71" s="98">
        <f t="shared" si="15"/>
        <v>3.4375</v>
      </c>
      <c r="L71" s="74"/>
    </row>
    <row r="72" spans="1:12" x14ac:dyDescent="0.2">
      <c r="A72" s="31" t="s">
        <v>271</v>
      </c>
      <c r="C72" s="98" t="str">
        <f t="shared" ref="C72:K72" si="16">IF(COUNT(C$63:C$67)&lt;5,"NA",(C$66+C$67)/2+(((C$67+C$66)/2-(C$64+C$63)/2)/3)*-0.5)</f>
        <v>NA</v>
      </c>
      <c r="D72" s="98" t="str">
        <f t="shared" si="16"/>
        <v>NA</v>
      </c>
      <c r="E72" s="98" t="str">
        <f t="shared" si="16"/>
        <v>NA</v>
      </c>
      <c r="F72" s="98" t="str">
        <f t="shared" si="16"/>
        <v>NA</v>
      </c>
      <c r="G72" s="98">
        <f t="shared" si="16"/>
        <v>1.8819444444444442</v>
      </c>
      <c r="H72" s="98">
        <f t="shared" si="16"/>
        <v>2.6805555555555554</v>
      </c>
      <c r="I72" s="98">
        <f t="shared" si="16"/>
        <v>3.4375</v>
      </c>
      <c r="J72" s="98">
        <f t="shared" si="16"/>
        <v>3.7430555555555554</v>
      </c>
      <c r="K72" s="98">
        <f t="shared" si="16"/>
        <v>3.6458333333333335</v>
      </c>
      <c r="L72" s="74"/>
    </row>
    <row r="73" spans="1:12" x14ac:dyDescent="0.2">
      <c r="A73" s="31" t="s">
        <v>272</v>
      </c>
      <c r="C73" s="98" t="str">
        <f t="shared" ref="C73:K73" si="17">IF(COUNT(C$63:C$67)&lt;5,"NA",(C$66+C$67)/2+(((C$67+C$66)/2-(C$64+C$63)/2)/3)*0.5)</f>
        <v>NA</v>
      </c>
      <c r="D73" s="98" t="str">
        <f t="shared" si="17"/>
        <v>NA</v>
      </c>
      <c r="E73" s="98" t="str">
        <f t="shared" si="17"/>
        <v>NA</v>
      </c>
      <c r="F73" s="98" t="str">
        <f t="shared" si="17"/>
        <v>NA</v>
      </c>
      <c r="G73" s="98">
        <f t="shared" si="17"/>
        <v>2.2013888888888888</v>
      </c>
      <c r="H73" s="98">
        <f t="shared" si="17"/>
        <v>3.5694444444444446</v>
      </c>
      <c r="I73" s="98">
        <f t="shared" si="17"/>
        <v>4.3958333333333339</v>
      </c>
      <c r="J73" s="98">
        <f t="shared" si="17"/>
        <v>4.4236111111111107</v>
      </c>
      <c r="K73" s="98">
        <f t="shared" si="17"/>
        <v>3.8541666666666665</v>
      </c>
      <c r="L73" s="74"/>
    </row>
    <row r="74" spans="1:12" x14ac:dyDescent="0.2">
      <c r="A74" s="31"/>
      <c r="C74" s="31"/>
      <c r="D74" s="31"/>
      <c r="E74" s="31"/>
      <c r="F74" s="31"/>
      <c r="G74" s="31"/>
      <c r="H74" s="31"/>
      <c r="I74" s="31"/>
      <c r="J74" s="31"/>
      <c r="K74" s="31"/>
      <c r="L74" s="74"/>
    </row>
    <row r="75" spans="1:12" x14ac:dyDescent="0.2">
      <c r="A75" s="31" t="s">
        <v>273</v>
      </c>
      <c r="C75" s="98" t="str">
        <f t="shared" ref="C75:K75" si="18">IF(C69="NA","NA",C63-C69)</f>
        <v>NA</v>
      </c>
      <c r="D75" s="98" t="str">
        <f t="shared" si="18"/>
        <v>NA</v>
      </c>
      <c r="E75" s="98" t="str">
        <f t="shared" si="18"/>
        <v>NA</v>
      </c>
      <c r="F75" s="98" t="str">
        <f t="shared" si="18"/>
        <v>NA</v>
      </c>
      <c r="G75" s="98">
        <f t="shared" si="18"/>
        <v>0.57638888888888884</v>
      </c>
      <c r="H75" s="98">
        <f t="shared" si="18"/>
        <v>0.65277777777777735</v>
      </c>
      <c r="I75" s="98">
        <f t="shared" si="18"/>
        <v>-0.3125</v>
      </c>
      <c r="J75" s="98">
        <f t="shared" si="18"/>
        <v>0.13194444444444442</v>
      </c>
      <c r="K75" s="98">
        <f t="shared" si="18"/>
        <v>-0.77083333333333304</v>
      </c>
      <c r="L75" s="74"/>
    </row>
    <row r="76" spans="1:12" x14ac:dyDescent="0.2">
      <c r="A76" s="31" t="s">
        <v>274</v>
      </c>
      <c r="C76" s="98" t="str">
        <f t="shared" ref="C76:E79" si="19">IF(C70="NA","NA",C64-C70)</f>
        <v>NA</v>
      </c>
      <c r="D76" s="98" t="str">
        <f t="shared" si="19"/>
        <v>NA</v>
      </c>
      <c r="E76" s="98" t="str">
        <f t="shared" si="19"/>
        <v>NA</v>
      </c>
      <c r="F76" s="98" t="str">
        <f t="shared" ref="F76:K76" si="20">IF(F70="NA","NA",F64-F70)</f>
        <v>NA</v>
      </c>
      <c r="G76" s="98">
        <f t="shared" si="20"/>
        <v>-0.57638888888888873</v>
      </c>
      <c r="H76" s="98">
        <f t="shared" si="20"/>
        <v>-0.65277777777777768</v>
      </c>
      <c r="I76" s="98">
        <f t="shared" si="20"/>
        <v>0.31250000000000022</v>
      </c>
      <c r="J76" s="98">
        <f t="shared" si="20"/>
        <v>-0.13194444444444464</v>
      </c>
      <c r="K76" s="98">
        <f t="shared" si="20"/>
        <v>0.77083333333333348</v>
      </c>
      <c r="L76" s="74"/>
    </row>
    <row r="77" spans="1:12" x14ac:dyDescent="0.2">
      <c r="A77" s="31" t="s">
        <v>275</v>
      </c>
      <c r="C77" s="98" t="str">
        <f t="shared" si="19"/>
        <v>NA</v>
      </c>
      <c r="D77" s="98" t="str">
        <f t="shared" si="19"/>
        <v>NA</v>
      </c>
      <c r="E77" s="98" t="str">
        <f t="shared" si="19"/>
        <v>NA</v>
      </c>
      <c r="F77" s="98" t="str">
        <f t="shared" ref="F77:K77" si="21">IF(F71="NA","NA",F65-F71)</f>
        <v>NA</v>
      </c>
      <c r="G77" s="98">
        <f t="shared" si="21"/>
        <v>-1.3125</v>
      </c>
      <c r="H77" s="98">
        <f t="shared" si="21"/>
        <v>4.1666666666666519E-2</v>
      </c>
      <c r="I77" s="98">
        <f t="shared" si="21"/>
        <v>-0.22916666666666696</v>
      </c>
      <c r="J77" s="98">
        <f t="shared" si="21"/>
        <v>0.9375</v>
      </c>
      <c r="K77" s="98">
        <f t="shared" si="21"/>
        <v>0.39583333333333348</v>
      </c>
      <c r="L77" s="74"/>
    </row>
    <row r="78" spans="1:12" x14ac:dyDescent="0.2">
      <c r="A78" s="31" t="s">
        <v>276</v>
      </c>
      <c r="C78" s="98" t="str">
        <f t="shared" si="19"/>
        <v>NA</v>
      </c>
      <c r="D78" s="98" t="str">
        <f t="shared" si="19"/>
        <v>NA</v>
      </c>
      <c r="E78" s="98" t="str">
        <f t="shared" si="19"/>
        <v>NA</v>
      </c>
      <c r="F78" s="98" t="str">
        <f t="shared" ref="F78:K78" si="22">IF(F72="NA","NA",F66-F72)</f>
        <v>NA</v>
      </c>
      <c r="G78" s="98">
        <f t="shared" si="22"/>
        <v>-4.8611111111110938E-2</v>
      </c>
      <c r="H78" s="98">
        <f t="shared" si="22"/>
        <v>-0.43055555555555536</v>
      </c>
      <c r="I78" s="98">
        <f t="shared" si="22"/>
        <v>0.5625</v>
      </c>
      <c r="J78" s="98">
        <f t="shared" si="22"/>
        <v>9.0277777777778123E-2</v>
      </c>
      <c r="K78" s="98">
        <f t="shared" si="22"/>
        <v>0.68749999999999956</v>
      </c>
      <c r="L78" s="74"/>
    </row>
    <row r="79" spans="1:12" x14ac:dyDescent="0.2">
      <c r="A79" s="31" t="s">
        <v>277</v>
      </c>
      <c r="C79" s="98" t="str">
        <f t="shared" si="19"/>
        <v>NA</v>
      </c>
      <c r="D79" s="98" t="str">
        <f t="shared" si="19"/>
        <v>NA</v>
      </c>
      <c r="E79" s="98" t="str">
        <f t="shared" si="19"/>
        <v>NA</v>
      </c>
      <c r="F79" s="98" t="str">
        <f t="shared" ref="F79:K79" si="23">IF(F73="NA","NA",F67-F73)</f>
        <v>NA</v>
      </c>
      <c r="G79" s="98">
        <f t="shared" si="23"/>
        <v>4.861111111111116E-2</v>
      </c>
      <c r="H79" s="98">
        <f t="shared" si="23"/>
        <v>0.43055555555555536</v>
      </c>
      <c r="I79" s="98">
        <f t="shared" si="23"/>
        <v>-0.56250000000000044</v>
      </c>
      <c r="J79" s="98">
        <f t="shared" si="23"/>
        <v>-9.0277777777777679E-2</v>
      </c>
      <c r="K79" s="98">
        <f t="shared" si="23"/>
        <v>-0.6875</v>
      </c>
      <c r="L79" s="74"/>
    </row>
    <row r="80" spans="1:12" x14ac:dyDescent="0.2">
      <c r="A80" s="31"/>
      <c r="C80" s="31"/>
      <c r="D80" s="31"/>
      <c r="E80" s="31"/>
      <c r="F80" s="31"/>
      <c r="G80" s="31"/>
      <c r="H80" s="31"/>
      <c r="I80" s="31"/>
      <c r="J80" s="31"/>
      <c r="K80" s="31"/>
      <c r="L80" s="74"/>
    </row>
    <row r="81" spans="1:12" x14ac:dyDescent="0.2">
      <c r="A81" s="31" t="s">
        <v>278</v>
      </c>
      <c r="C81" s="98" t="str">
        <f t="shared" ref="C81:K81" si="24">IF(C75="NA","NA",MAX(C75:C79)-MIN(C75:C79))</f>
        <v>NA</v>
      </c>
      <c r="D81" s="98" t="str">
        <f t="shared" si="24"/>
        <v>NA</v>
      </c>
      <c r="E81" s="98" t="str">
        <f t="shared" si="24"/>
        <v>NA</v>
      </c>
      <c r="F81" s="98" t="str">
        <f t="shared" si="24"/>
        <v>NA</v>
      </c>
      <c r="G81" s="98">
        <f t="shared" si="24"/>
        <v>1.8888888888888888</v>
      </c>
      <c r="H81" s="98">
        <f>IF(H75="NA","NA",MAX(H75:H79)-MIN(H75:H79))</f>
        <v>1.3055555555555549</v>
      </c>
      <c r="I81" s="98">
        <f t="shared" si="24"/>
        <v>1.1250000000000004</v>
      </c>
      <c r="J81" s="98">
        <f t="shared" si="24"/>
        <v>1.0694444444444446</v>
      </c>
      <c r="K81" s="98">
        <f t="shared" si="24"/>
        <v>1.5416666666666665</v>
      </c>
      <c r="L81" s="74"/>
    </row>
    <row r="82" spans="1:12" x14ac:dyDescent="0.2">
      <c r="A82" s="31"/>
      <c r="C82" s="98"/>
      <c r="D82" s="98"/>
      <c r="E82" s="98"/>
      <c r="F82" s="98"/>
      <c r="G82" s="98"/>
      <c r="H82" s="98"/>
      <c r="I82" s="98"/>
      <c r="J82" s="98"/>
      <c r="K82" s="98"/>
      <c r="L82" s="74"/>
    </row>
    <row r="83" spans="1:12" x14ac:dyDescent="0.2">
      <c r="A83" s="31"/>
      <c r="C83" s="31"/>
      <c r="D83" s="31"/>
      <c r="E83" s="31"/>
      <c r="F83" s="31"/>
      <c r="G83" s="31"/>
      <c r="H83" s="31"/>
      <c r="I83" s="31"/>
      <c r="J83" s="31"/>
      <c r="K83" s="31"/>
      <c r="L83" s="74"/>
    </row>
    <row r="84" spans="1:12" x14ac:dyDescent="0.2">
      <c r="A84" s="33" t="s">
        <v>179</v>
      </c>
      <c r="C84" s="31"/>
      <c r="D84" s="31"/>
      <c r="E84" s="31"/>
      <c r="F84" s="31"/>
      <c r="G84" s="31"/>
      <c r="H84" s="31"/>
      <c r="I84" s="31"/>
      <c r="J84" s="31"/>
      <c r="K84" s="31"/>
      <c r="L84" s="74"/>
    </row>
    <row r="85" spans="1:12" x14ac:dyDescent="0.2">
      <c r="A85" s="37" t="s">
        <v>183</v>
      </c>
      <c r="C85" s="32">
        <f t="shared" ref="C85:J85" si="25">C8+C7+C6-C5</f>
        <v>6143</v>
      </c>
      <c r="D85" s="32">
        <f t="shared" si="25"/>
        <v>6680</v>
      </c>
      <c r="E85" s="32">
        <f t="shared" si="25"/>
        <v>4827</v>
      </c>
      <c r="F85" s="32">
        <f t="shared" si="25"/>
        <v>8818</v>
      </c>
      <c r="G85" s="32">
        <f t="shared" si="25"/>
        <v>9659</v>
      </c>
      <c r="H85" s="32">
        <f>H8+H7+H6-H5</f>
        <v>11821.247680880017</v>
      </c>
      <c r="I85" s="32">
        <f t="shared" si="25"/>
        <v>14182.049591555273</v>
      </c>
      <c r="J85" s="32">
        <f t="shared" si="25"/>
        <v>12272.546459191481</v>
      </c>
      <c r="K85" s="32">
        <f>K8+K7+K6-K5</f>
        <v>12512.706438424657</v>
      </c>
      <c r="L85" s="74"/>
    </row>
    <row r="86" spans="1:12" x14ac:dyDescent="0.2">
      <c r="A86" s="31" t="s">
        <v>182</v>
      </c>
      <c r="C86" s="32">
        <f t="shared" ref="C86:K86" si="26">C11+C12+C14+IF(C60="No",0,C53)</f>
        <v>20815</v>
      </c>
      <c r="D86" s="32">
        <f t="shared" si="26"/>
        <v>19141</v>
      </c>
      <c r="E86" s="32">
        <f t="shared" si="26"/>
        <v>14125</v>
      </c>
      <c r="F86" s="32">
        <f t="shared" si="26"/>
        <v>14356</v>
      </c>
      <c r="G86" s="32">
        <f t="shared" si="26"/>
        <v>12690</v>
      </c>
      <c r="H86" s="32">
        <f t="shared" si="26"/>
        <v>15533.037546014591</v>
      </c>
      <c r="I86" s="32">
        <f t="shared" si="26"/>
        <v>13308.037546014591</v>
      </c>
      <c r="J86" s="32">
        <f t="shared" si="26"/>
        <v>16398.430325628542</v>
      </c>
      <c r="K86" s="32">
        <f t="shared" si="26"/>
        <v>22940.154856205565</v>
      </c>
      <c r="L86" s="74"/>
    </row>
    <row r="87" spans="1:12" x14ac:dyDescent="0.2">
      <c r="A87" s="31" t="s">
        <v>185</v>
      </c>
      <c r="C87" s="32">
        <f t="shared" ref="C87:K87" si="27">C86+C13</f>
        <v>23363</v>
      </c>
      <c r="D87" s="32">
        <f t="shared" si="27"/>
        <v>23805</v>
      </c>
      <c r="E87" s="32">
        <f t="shared" si="27"/>
        <v>24318</v>
      </c>
      <c r="F87" s="32">
        <f t="shared" si="27"/>
        <v>20324</v>
      </c>
      <c r="G87" s="32">
        <f t="shared" si="27"/>
        <v>19249</v>
      </c>
      <c r="H87" s="32">
        <f t="shared" si="27"/>
        <v>17955.037546014591</v>
      </c>
      <c r="I87" s="32">
        <f t="shared" si="27"/>
        <v>15479.037546014591</v>
      </c>
      <c r="J87" s="32">
        <f t="shared" si="27"/>
        <v>18494.430325628542</v>
      </c>
      <c r="K87" s="32">
        <f t="shared" si="27"/>
        <v>25037.154856205565</v>
      </c>
      <c r="L87" s="74"/>
    </row>
    <row r="88" spans="1:12" x14ac:dyDescent="0.2">
      <c r="A88" s="31" t="s">
        <v>186</v>
      </c>
      <c r="C88" s="32">
        <f t="shared" ref="C88:K88" si="28">IF(C86/C28-0.08&gt;0,C86/C28-0.08,0)*C28</f>
        <v>14054.439999999999</v>
      </c>
      <c r="D88" s="32">
        <f t="shared" si="28"/>
        <v>11839.400000000001</v>
      </c>
      <c r="E88" s="32">
        <f t="shared" si="28"/>
        <v>6994.28</v>
      </c>
      <c r="F88" s="32">
        <f t="shared" si="28"/>
        <v>7440.7999999999993</v>
      </c>
      <c r="G88" s="32">
        <f t="shared" si="28"/>
        <v>4841.3600000000006</v>
      </c>
      <c r="H88" s="32">
        <f t="shared" si="28"/>
        <v>7905.280549695759</v>
      </c>
      <c r="I88" s="32">
        <f t="shared" si="28"/>
        <v>5486.4501083849264</v>
      </c>
      <c r="J88" s="32">
        <f t="shared" si="28"/>
        <v>8877.6119253333054</v>
      </c>
      <c r="K88" s="32">
        <f t="shared" si="28"/>
        <v>15329.74281530207</v>
      </c>
      <c r="L88" s="74"/>
    </row>
    <row r="89" spans="1:12" x14ac:dyDescent="0.2">
      <c r="A89" s="31" t="s">
        <v>180</v>
      </c>
      <c r="C89" s="32">
        <f t="shared" ref="C89:J89" si="29">C15+C17+C18+C19+C20</f>
        <v>8289</v>
      </c>
      <c r="D89" s="32">
        <f t="shared" si="29"/>
        <v>11532</v>
      </c>
      <c r="E89" s="32">
        <f t="shared" si="29"/>
        <v>17759</v>
      </c>
      <c r="F89" s="32">
        <f t="shared" si="29"/>
        <v>20111</v>
      </c>
      <c r="G89" s="32">
        <f t="shared" si="29"/>
        <v>6934</v>
      </c>
      <c r="H89" s="32">
        <f>H15+H17+H18+H19+H20</f>
        <v>4679</v>
      </c>
      <c r="I89" s="32">
        <f t="shared" si="29"/>
        <v>6149.1850496190746</v>
      </c>
      <c r="J89" s="32">
        <f t="shared" si="29"/>
        <v>1325</v>
      </c>
      <c r="K89" s="32">
        <f>K15+K17+K18+K19+K20</f>
        <v>1325</v>
      </c>
      <c r="L89" s="74"/>
    </row>
    <row r="90" spans="1:12" x14ac:dyDescent="0.2">
      <c r="A90" s="31" t="s">
        <v>184</v>
      </c>
      <c r="C90" s="32">
        <f t="shared" ref="C90:K90" si="30">C16+C17+C18+IF(C33="Yes",0,C15)</f>
        <v>16483</v>
      </c>
      <c r="D90" s="32">
        <f t="shared" si="30"/>
        <v>17973</v>
      </c>
      <c r="E90" s="32">
        <f t="shared" si="30"/>
        <v>24510</v>
      </c>
      <c r="F90" s="32">
        <f t="shared" si="30"/>
        <v>30392</v>
      </c>
      <c r="G90" s="32">
        <f t="shared" si="30"/>
        <v>9924</v>
      </c>
      <c r="H90" s="32">
        <f t="shared" si="30"/>
        <v>7108</v>
      </c>
      <c r="I90" s="32">
        <f t="shared" si="30"/>
        <v>6835</v>
      </c>
      <c r="J90" s="32">
        <f t="shared" si="30"/>
        <v>6820</v>
      </c>
      <c r="K90" s="32">
        <f t="shared" si="30"/>
        <v>6820</v>
      </c>
      <c r="L90" s="74"/>
    </row>
    <row r="91" spans="1:12" x14ac:dyDescent="0.2">
      <c r="A91" s="31"/>
      <c r="C91" s="32"/>
      <c r="D91" s="32"/>
      <c r="E91" s="32"/>
      <c r="F91" s="32"/>
      <c r="G91" s="32"/>
      <c r="H91" s="32"/>
      <c r="I91" s="32"/>
      <c r="J91" s="32"/>
      <c r="K91" s="32"/>
      <c r="L91" s="74"/>
    </row>
    <row r="92" spans="1:12" x14ac:dyDescent="0.2">
      <c r="A92" s="31" t="s">
        <v>475</v>
      </c>
      <c r="B92">
        <f>ROW(A92)</f>
        <v>92</v>
      </c>
      <c r="C92" s="266">
        <f t="shared" ref="C92:J92" si="31">C8</f>
        <v>-768</v>
      </c>
      <c r="D92" s="266">
        <f t="shared" si="31"/>
        <v>-459</v>
      </c>
      <c r="E92" s="266">
        <f t="shared" si="31"/>
        <v>-2666</v>
      </c>
      <c r="F92" s="266">
        <f t="shared" si="31"/>
        <v>-863</v>
      </c>
      <c r="G92" s="266">
        <f t="shared" si="31"/>
        <v>375</v>
      </c>
      <c r="H92" s="266">
        <f t="shared" si="31"/>
        <v>2380.6702268946246</v>
      </c>
      <c r="I92" s="266">
        <f t="shared" si="31"/>
        <v>4714.662950276761</v>
      </c>
      <c r="J92" s="266">
        <f t="shared" si="31"/>
        <v>3782.4545289830276</v>
      </c>
      <c r="K92" s="266">
        <f>K8</f>
        <v>4244.6012303270109</v>
      </c>
      <c r="L92" s="74"/>
    </row>
    <row r="93" spans="1:12" x14ac:dyDescent="0.2">
      <c r="A93" s="31" t="s">
        <v>425</v>
      </c>
      <c r="B93">
        <f>ROW(A93)</f>
        <v>93</v>
      </c>
      <c r="C93" s="266" t="str">
        <f t="shared" ref="C93:K93" si="32">IF(ISERROR(HLOOKUP((C$1-1),$C$1:$K$124,$B$92,FALSE))=TRUE,"NA",HLOOKUP((C$1-1),$C$1:$K$124,$B$92,FALSE))</f>
        <v>NA</v>
      </c>
      <c r="D93" s="266">
        <f t="shared" si="32"/>
        <v>-768</v>
      </c>
      <c r="E93" s="266">
        <f t="shared" si="32"/>
        <v>-459</v>
      </c>
      <c r="F93" s="266">
        <f t="shared" si="32"/>
        <v>-2666</v>
      </c>
      <c r="G93" s="266">
        <f t="shared" si="32"/>
        <v>-863</v>
      </c>
      <c r="H93" s="266">
        <f t="shared" si="32"/>
        <v>375</v>
      </c>
      <c r="I93" s="266">
        <f t="shared" si="32"/>
        <v>2380.6702268946246</v>
      </c>
      <c r="J93" s="266">
        <f t="shared" si="32"/>
        <v>4714.662950276761</v>
      </c>
      <c r="K93" s="266">
        <f t="shared" si="32"/>
        <v>3782.4545289830276</v>
      </c>
      <c r="L93" s="74"/>
    </row>
    <row r="94" spans="1:12" x14ac:dyDescent="0.2">
      <c r="A94" s="31" t="s">
        <v>426</v>
      </c>
      <c r="B94">
        <f>ROW(A94)</f>
        <v>94</v>
      </c>
      <c r="C94" s="266" t="str">
        <f t="shared" ref="C94:K94" si="33">IF(ISERROR(HLOOKUP((C$1-2),$C$1:$K$124,$B$92,FALSE))=TRUE,"NA",HLOOKUP((C$1-2),$C$1:$K$124,$B$92,FALSE))</f>
        <v>NA</v>
      </c>
      <c r="D94" s="266" t="str">
        <f t="shared" si="33"/>
        <v>NA</v>
      </c>
      <c r="E94" s="266">
        <f t="shared" si="33"/>
        <v>-768</v>
      </c>
      <c r="F94" s="266">
        <f t="shared" si="33"/>
        <v>-459</v>
      </c>
      <c r="G94" s="266">
        <f t="shared" si="33"/>
        <v>-2666</v>
      </c>
      <c r="H94" s="266">
        <f t="shared" si="33"/>
        <v>-863</v>
      </c>
      <c r="I94" s="266">
        <f t="shared" si="33"/>
        <v>375</v>
      </c>
      <c r="J94" s="266">
        <f t="shared" si="33"/>
        <v>2380.6702268946246</v>
      </c>
      <c r="K94" s="266">
        <f t="shared" si="33"/>
        <v>4714.662950276761</v>
      </c>
      <c r="L94" s="74"/>
    </row>
    <row r="95" spans="1:12" ht="15.75" thickBot="1" x14ac:dyDescent="0.25">
      <c r="A95" s="33" t="s">
        <v>427</v>
      </c>
      <c r="B95">
        <f>ROW(A95)</f>
        <v>95</v>
      </c>
      <c r="C95" s="267" t="str">
        <f t="shared" ref="C95:J95" si="34">IF(COUNT(C92:C94)=3,AVERAGE(C92:C94),"NA")</f>
        <v>NA</v>
      </c>
      <c r="D95" s="267" t="str">
        <f t="shared" si="34"/>
        <v>NA</v>
      </c>
      <c r="E95" s="267">
        <f t="shared" si="34"/>
        <v>-1297.6666666666667</v>
      </c>
      <c r="F95" s="267">
        <f t="shared" si="34"/>
        <v>-1329.3333333333333</v>
      </c>
      <c r="G95" s="267">
        <f t="shared" si="34"/>
        <v>-1051.3333333333333</v>
      </c>
      <c r="H95" s="267">
        <f t="shared" si="34"/>
        <v>630.89007563154155</v>
      </c>
      <c r="I95" s="267">
        <f t="shared" si="34"/>
        <v>2490.1110590571284</v>
      </c>
      <c r="J95" s="267">
        <f t="shared" si="34"/>
        <v>3625.9292353848045</v>
      </c>
      <c r="K95" s="267">
        <f>IF(COUNT(K92:K94)=3,AVERAGE(K92:K94),"NA")</f>
        <v>4247.2395698622668</v>
      </c>
      <c r="L95" s="74"/>
    </row>
    <row r="96" spans="1:12" x14ac:dyDescent="0.2">
      <c r="A96" s="31"/>
      <c r="C96" s="32"/>
      <c r="D96" s="32"/>
      <c r="E96" s="32"/>
      <c r="F96" s="32"/>
      <c r="G96" s="32"/>
      <c r="H96" s="32"/>
      <c r="I96" s="32"/>
      <c r="J96" s="32"/>
      <c r="K96" s="32"/>
      <c r="L96" s="74"/>
    </row>
    <row r="97" spans="1:12" x14ac:dyDescent="0.2">
      <c r="A97" s="31" t="s">
        <v>474</v>
      </c>
      <c r="B97">
        <f>ROW(A97)</f>
        <v>97</v>
      </c>
      <c r="C97" s="268">
        <f t="shared" ref="C97:K97" si="35">C85/C21</f>
        <v>6.3010944600014357E-2</v>
      </c>
      <c r="D97" s="268">
        <f t="shared" si="35"/>
        <v>5.6273482385052143E-2</v>
      </c>
      <c r="E97" s="268">
        <f t="shared" si="35"/>
        <v>3.9664083748983128E-2</v>
      </c>
      <c r="F97" s="268">
        <f t="shared" si="35"/>
        <v>6.8040648461793682E-2</v>
      </c>
      <c r="G97" s="268">
        <f t="shared" si="35"/>
        <v>6.9848501283581013E-2</v>
      </c>
      <c r="H97" s="268">
        <f t="shared" si="35"/>
        <v>8.0997407814397224E-2</v>
      </c>
      <c r="I97" s="268">
        <f t="shared" si="35"/>
        <v>9.0745459451220589E-2</v>
      </c>
      <c r="J97" s="268">
        <f t="shared" si="35"/>
        <v>7.9652176427785215E-2</v>
      </c>
      <c r="K97" s="268">
        <f t="shared" si="35"/>
        <v>8.2494869566185861E-2</v>
      </c>
      <c r="L97" s="74"/>
    </row>
    <row r="98" spans="1:12" x14ac:dyDescent="0.2">
      <c r="A98" s="31" t="s">
        <v>428</v>
      </c>
      <c r="B98">
        <f>ROW(A98)</f>
        <v>98</v>
      </c>
      <c r="C98" s="268" t="str">
        <f t="shared" ref="C98:K98" si="36">IF(ISERROR(HLOOKUP((C$1-1),$C$1:$K$124,$B$97,FALSE))=TRUE,"NA",HLOOKUP((C$1-1),$C$1:$K$124,$B$97,FALSE))</f>
        <v>NA</v>
      </c>
      <c r="D98" s="268">
        <f t="shared" si="36"/>
        <v>6.3010944600014357E-2</v>
      </c>
      <c r="E98" s="268">
        <f t="shared" si="36"/>
        <v>5.6273482385052143E-2</v>
      </c>
      <c r="F98" s="268">
        <f t="shared" si="36"/>
        <v>3.9664083748983128E-2</v>
      </c>
      <c r="G98" s="268">
        <f t="shared" si="36"/>
        <v>6.8040648461793682E-2</v>
      </c>
      <c r="H98" s="268">
        <f t="shared" si="36"/>
        <v>6.9848501283581013E-2</v>
      </c>
      <c r="I98" s="268">
        <f t="shared" si="36"/>
        <v>8.0997407814397224E-2</v>
      </c>
      <c r="J98" s="268">
        <f t="shared" si="36"/>
        <v>9.0745459451220589E-2</v>
      </c>
      <c r="K98" s="268">
        <f t="shared" si="36"/>
        <v>7.9652176427785215E-2</v>
      </c>
      <c r="L98" s="74"/>
    </row>
    <row r="99" spans="1:12" x14ac:dyDescent="0.2">
      <c r="A99" s="31" t="s">
        <v>429</v>
      </c>
      <c r="B99">
        <f>ROW(A99)</f>
        <v>99</v>
      </c>
      <c r="C99" s="268" t="str">
        <f t="shared" ref="C99:K99" si="37">IF(ISERROR(HLOOKUP((C$1-2),$C$1:$K$124,$B$97,FALSE))=TRUE,"NA",HLOOKUP((C$1-2),$C$1:$K$124,$B$97,FALSE))</f>
        <v>NA</v>
      </c>
      <c r="D99" s="268" t="str">
        <f t="shared" si="37"/>
        <v>NA</v>
      </c>
      <c r="E99" s="268">
        <f t="shared" si="37"/>
        <v>6.3010944600014357E-2</v>
      </c>
      <c r="F99" s="268">
        <f t="shared" si="37"/>
        <v>5.6273482385052143E-2</v>
      </c>
      <c r="G99" s="268">
        <f t="shared" si="37"/>
        <v>3.9664083748983128E-2</v>
      </c>
      <c r="H99" s="268">
        <f t="shared" si="37"/>
        <v>6.8040648461793682E-2</v>
      </c>
      <c r="I99" s="268">
        <f t="shared" si="37"/>
        <v>6.9848501283581013E-2</v>
      </c>
      <c r="J99" s="268">
        <f t="shared" si="37"/>
        <v>8.0997407814397224E-2</v>
      </c>
      <c r="K99" s="268">
        <f t="shared" si="37"/>
        <v>9.0745459451220589E-2</v>
      </c>
      <c r="L99" s="74"/>
    </row>
    <row r="100" spans="1:12" ht="15.75" thickBot="1" x14ac:dyDescent="0.25">
      <c r="A100" s="33" t="s">
        <v>430</v>
      </c>
      <c r="B100">
        <f>ROW(A100)</f>
        <v>100</v>
      </c>
      <c r="C100" s="269" t="str">
        <f t="shared" ref="C100:J100" si="38">IF(COUNT(C97:C99)=3,AVERAGE(C97:C99),"NA")</f>
        <v>NA</v>
      </c>
      <c r="D100" s="269" t="str">
        <f t="shared" si="38"/>
        <v>NA</v>
      </c>
      <c r="E100" s="269">
        <f t="shared" si="38"/>
        <v>5.2982836911349883E-2</v>
      </c>
      <c r="F100" s="269">
        <f t="shared" si="38"/>
        <v>5.4659404865276318E-2</v>
      </c>
      <c r="G100" s="269">
        <f t="shared" si="38"/>
        <v>5.9184411164785934E-2</v>
      </c>
      <c r="H100" s="269">
        <f t="shared" si="38"/>
        <v>7.2962185853257311E-2</v>
      </c>
      <c r="I100" s="269">
        <f t="shared" si="38"/>
        <v>8.0530456183066271E-2</v>
      </c>
      <c r="J100" s="269">
        <f t="shared" si="38"/>
        <v>8.3798347897801009E-2</v>
      </c>
      <c r="K100" s="269">
        <f>IF(COUNT(K97:K99)=3,AVERAGE(K97:K99),"NA")</f>
        <v>8.4297501815063888E-2</v>
      </c>
      <c r="L100" s="74"/>
    </row>
    <row r="101" spans="1:12" x14ac:dyDescent="0.2">
      <c r="A101" s="31"/>
      <c r="C101" s="32"/>
      <c r="D101" s="32"/>
      <c r="E101" s="32"/>
      <c r="F101" s="32"/>
      <c r="G101" s="32"/>
      <c r="H101" s="32"/>
      <c r="I101" s="32"/>
      <c r="J101" s="32"/>
      <c r="K101" s="32"/>
      <c r="L101" s="74"/>
    </row>
    <row r="102" spans="1:12" x14ac:dyDescent="0.2">
      <c r="A102" s="33" t="s">
        <v>205</v>
      </c>
      <c r="C102" s="32"/>
      <c r="D102" s="32"/>
      <c r="E102" s="32"/>
      <c r="F102" s="32"/>
      <c r="G102" s="32"/>
      <c r="H102" s="32"/>
      <c r="I102" s="32"/>
      <c r="J102" s="32"/>
      <c r="K102" s="32"/>
      <c r="L102" s="74"/>
    </row>
    <row r="103" spans="1:12" x14ac:dyDescent="0.2">
      <c r="A103" s="63" t="s">
        <v>213</v>
      </c>
      <c r="C103" s="157">
        <v>1</v>
      </c>
      <c r="D103" s="157">
        <v>1</v>
      </c>
      <c r="E103" s="157">
        <v>1</v>
      </c>
      <c r="F103" s="157">
        <v>1</v>
      </c>
      <c r="G103" s="157">
        <v>1</v>
      </c>
      <c r="H103" s="157">
        <v>1</v>
      </c>
      <c r="I103" s="157">
        <v>1</v>
      </c>
      <c r="J103" s="157">
        <v>1</v>
      </c>
      <c r="K103" s="157">
        <v>1</v>
      </c>
    </row>
    <row r="104" spans="1:12" x14ac:dyDescent="0.2">
      <c r="A104" s="31" t="s">
        <v>225</v>
      </c>
      <c r="C104" s="91" t="str">
        <f>IF(C124&lt;2,"Below2",IF(C124&lt;3,"2 - 2.99",IF(C124&lt;4,"3 - 3.99","4 or above")))</f>
        <v>Below2</v>
      </c>
      <c r="D104" s="91" t="str">
        <f t="shared" ref="D104:J104" si="39">IF(D124&lt;2,"Below2",IF(D124&lt;3,"2 - 2.99",IF(D124&lt;4,"3 - 3.99","4 or above")))</f>
        <v>Below2</v>
      </c>
      <c r="E104" s="91" t="str">
        <f t="shared" si="39"/>
        <v>Below2</v>
      </c>
      <c r="F104" s="91" t="str">
        <f t="shared" si="39"/>
        <v>Below2</v>
      </c>
      <c r="G104" s="91" t="str">
        <f t="shared" si="39"/>
        <v>2 - 2.99</v>
      </c>
      <c r="H104" s="91" t="str">
        <f>IF(H124&lt;2,"Below2",IF(H124&lt;3,"2 - 2.99",IF(H124&lt;4,"3 - 3.99","4 or above")))</f>
        <v>4 or above</v>
      </c>
      <c r="I104" s="91" t="str">
        <f t="shared" si="39"/>
        <v>3 - 3.99</v>
      </c>
      <c r="J104" s="91" t="str">
        <f t="shared" si="39"/>
        <v>4 or above</v>
      </c>
      <c r="K104" s="91" t="str">
        <f>IF(K124&lt;2,"Below2",IF(K124&lt;3,"2 - 2.99",IF(K124&lt;4,"3 - 3.99","4 or above")))</f>
        <v>3 - 3.99</v>
      </c>
    </row>
    <row r="105" spans="1:12" x14ac:dyDescent="0.2">
      <c r="A105" s="31" t="s">
        <v>226</v>
      </c>
      <c r="C105" s="92" t="str">
        <f t="shared" ref="C105:K105" si="40">IF(C81&gt;C103,"High Variability","Low Variability")</f>
        <v>High Variability</v>
      </c>
      <c r="D105" s="92" t="str">
        <f t="shared" si="40"/>
        <v>High Variability</v>
      </c>
      <c r="E105" s="92" t="str">
        <f t="shared" si="40"/>
        <v>High Variability</v>
      </c>
      <c r="F105" s="92" t="str">
        <f t="shared" si="40"/>
        <v>High Variability</v>
      </c>
      <c r="G105" s="92" t="str">
        <f t="shared" si="40"/>
        <v>High Variability</v>
      </c>
      <c r="H105" s="92" t="str">
        <f t="shared" si="40"/>
        <v>High Variability</v>
      </c>
      <c r="I105" s="92" t="str">
        <f t="shared" si="40"/>
        <v>High Variability</v>
      </c>
      <c r="J105" s="92" t="str">
        <f t="shared" si="40"/>
        <v>High Variability</v>
      </c>
      <c r="K105" s="92" t="str">
        <f t="shared" si="40"/>
        <v>High Variability</v>
      </c>
    </row>
    <row r="106" spans="1:12" x14ac:dyDescent="0.2">
      <c r="A106" s="31" t="s">
        <v>227</v>
      </c>
      <c r="C106" s="156" t="str">
        <f t="shared" ref="C106:K106" si="41">IF(ISERROR(C63+C64+C66+C67)=TRUE,"NA",IF(((C67+C66)-(C63+C64))*6&lt;-3,"Negative Trend","Favourable Trend"))</f>
        <v>NA</v>
      </c>
      <c r="D106" s="156" t="str">
        <f t="shared" si="41"/>
        <v>NA</v>
      </c>
      <c r="E106" s="156" t="str">
        <f t="shared" si="41"/>
        <v>NA</v>
      </c>
      <c r="F106" s="156" t="str">
        <f t="shared" si="41"/>
        <v>NA</v>
      </c>
      <c r="G106" s="156" t="str">
        <f t="shared" si="41"/>
        <v>Favourable Trend</v>
      </c>
      <c r="H106" s="156" t="str">
        <f t="shared" si="41"/>
        <v>Favourable Trend</v>
      </c>
      <c r="I106" s="156" t="str">
        <f t="shared" si="41"/>
        <v>Favourable Trend</v>
      </c>
      <c r="J106" s="156" t="str">
        <f t="shared" si="41"/>
        <v>Favourable Trend</v>
      </c>
      <c r="K106" s="156" t="str">
        <f t="shared" si="41"/>
        <v>Favourable Trend</v>
      </c>
    </row>
    <row r="109" spans="1:12" ht="15.75" x14ac:dyDescent="0.25">
      <c r="A109" s="27" t="s">
        <v>206</v>
      </c>
    </row>
    <row r="110" spans="1:12" x14ac:dyDescent="0.2">
      <c r="A110" t="s">
        <v>160</v>
      </c>
      <c r="B110" s="71"/>
      <c r="C110" s="30">
        <f t="shared" ref="C110:J110" si="42">C8/C4</f>
        <v>-8.2204977254482208E-3</v>
      </c>
      <c r="D110" s="30">
        <f t="shared" si="42"/>
        <v>-4.7041219997130384E-3</v>
      </c>
      <c r="E110" s="30">
        <f t="shared" si="42"/>
        <v>-2.7927927927927927E-2</v>
      </c>
      <c r="F110" s="30">
        <f t="shared" si="42"/>
        <v>-8.7861295215988112E-3</v>
      </c>
      <c r="G110" s="30">
        <f t="shared" si="42"/>
        <v>3.4902876927802237E-3</v>
      </c>
      <c r="H110" s="30">
        <f>H8/H4</f>
        <v>2.1759058457164328E-2</v>
      </c>
      <c r="I110" s="30">
        <f t="shared" si="42"/>
        <v>4.2078828013377957E-2</v>
      </c>
      <c r="J110" s="30">
        <f t="shared" si="42"/>
        <v>3.5381850334971272E-2</v>
      </c>
      <c r="K110" s="30">
        <f>K8/K4</f>
        <v>3.9042349095696358E-2</v>
      </c>
    </row>
    <row r="111" spans="1:12" x14ac:dyDescent="0.2">
      <c r="A111" t="s">
        <v>161</v>
      </c>
      <c r="B111" s="71"/>
      <c r="C111" s="30">
        <f t="shared" ref="C111:K111" si="43">C85/C4</f>
        <v>6.5753278030505749E-2</v>
      </c>
      <c r="D111" s="30">
        <f t="shared" si="43"/>
        <v>6.8460860475126575E-2</v>
      </c>
      <c r="E111" s="30">
        <f t="shared" si="43"/>
        <v>5.0565681961030798E-2</v>
      </c>
      <c r="F111" s="30">
        <f t="shared" si="43"/>
        <v>8.9775307209105815E-2</v>
      </c>
      <c r="G111" s="30">
        <f t="shared" si="43"/>
        <v>8.9900503532171147E-2</v>
      </c>
      <c r="H111" s="30">
        <f t="shared" si="43"/>
        <v>0.10804487594252248</v>
      </c>
      <c r="I111" s="30">
        <f t="shared" si="43"/>
        <v>0.12657617987415623</v>
      </c>
      <c r="J111" s="30">
        <f t="shared" si="43"/>
        <v>0.11479990009684081</v>
      </c>
      <c r="K111" s="30">
        <f t="shared" si="43"/>
        <v>0.11509336835001249</v>
      </c>
    </row>
    <row r="112" spans="1:12" x14ac:dyDescent="0.2">
      <c r="A112" t="s">
        <v>162</v>
      </c>
      <c r="B112" s="71"/>
      <c r="C112" s="30">
        <f t="shared" ref="C112:J112" si="44">C27/C28</f>
        <v>1.1146058906362786</v>
      </c>
      <c r="D112" s="30">
        <f t="shared" si="44"/>
        <v>1.005522077352909</v>
      </c>
      <c r="E112" s="30">
        <f t="shared" si="44"/>
        <v>1.0263199228128437</v>
      </c>
      <c r="F112" s="30">
        <f t="shared" si="44"/>
        <v>1.1964368347987042</v>
      </c>
      <c r="G112" s="30">
        <f t="shared" si="44"/>
        <v>1.0840808089044727</v>
      </c>
      <c r="H112" s="30">
        <f>H27/H28</f>
        <v>1.1658263371908155</v>
      </c>
      <c r="I112" s="30">
        <f t="shared" si="44"/>
        <v>1.1460035785749079</v>
      </c>
      <c r="J112" s="30">
        <f t="shared" si="44"/>
        <v>1.1379485810078744</v>
      </c>
      <c r="K112" s="30">
        <f>K27/K28</f>
        <v>1.142832997294206</v>
      </c>
    </row>
    <row r="113" spans="1:11" x14ac:dyDescent="0.2">
      <c r="A113" t="s">
        <v>163</v>
      </c>
      <c r="B113" s="71"/>
      <c r="C113" s="30">
        <f t="shared" ref="C113:K113" si="45">(C86-IF(C33="No",C15,0))/C28</f>
        <v>0.22870294768480717</v>
      </c>
      <c r="D113" s="30">
        <f t="shared" si="45"/>
        <v>0.1887038457324422</v>
      </c>
      <c r="E113" s="30">
        <f t="shared" si="45"/>
        <v>0.12860412412771782</v>
      </c>
      <c r="F113" s="30">
        <f t="shared" si="45"/>
        <v>0.16608051827857473</v>
      </c>
      <c r="G113" s="30">
        <f t="shared" si="45"/>
        <v>0.12819545806662047</v>
      </c>
      <c r="H113" s="30">
        <f t="shared" si="45"/>
        <v>0.16291067010667343</v>
      </c>
      <c r="I113" s="30">
        <f t="shared" si="45"/>
        <v>0.13611597545520859</v>
      </c>
      <c r="J113" s="30">
        <f t="shared" si="45"/>
        <v>0.17443240299470394</v>
      </c>
      <c r="K113" s="30">
        <f t="shared" si="45"/>
        <v>0.24114494440416287</v>
      </c>
    </row>
    <row r="114" spans="1:11" x14ac:dyDescent="0.2">
      <c r="A114" t="s">
        <v>164</v>
      </c>
      <c r="B114" s="71"/>
      <c r="C114" s="35">
        <f t="shared" ref="C114:K114" si="46">IF(C6=0,IF(C111&lt;7%,"Score 3",IF(C111&lt;10%,"Score 4","Score 5")),(C8+C6)/C6)</f>
        <v>-3.1513513513513511</v>
      </c>
      <c r="D114" s="35">
        <f t="shared" si="46"/>
        <v>-0.55593220338983051</v>
      </c>
      <c r="E114" s="35">
        <f t="shared" si="46"/>
        <v>-7.0543806646525677</v>
      </c>
      <c r="F114" s="35">
        <f t="shared" si="46"/>
        <v>0.36309963099630999</v>
      </c>
      <c r="G114" s="35">
        <f t="shared" si="46"/>
        <v>1.3033980582524272</v>
      </c>
      <c r="H114" s="35">
        <f t="shared" si="46"/>
        <v>6.750932733089436</v>
      </c>
      <c r="I114" s="35">
        <f t="shared" si="46"/>
        <v>9.1419599094679906</v>
      </c>
      <c r="J114" s="35">
        <f t="shared" si="46"/>
        <v>32.469205260476031</v>
      </c>
      <c r="K114" s="35">
        <f t="shared" si="46"/>
        <v>-27.948357940758914</v>
      </c>
    </row>
    <row r="115" spans="1:11" x14ac:dyDescent="0.2">
      <c r="A115" t="s">
        <v>159</v>
      </c>
      <c r="B115" s="71"/>
      <c r="C115" s="36">
        <f t="shared" ref="C115:J115" si="47">IF(C90=0,100,C87/C90)</f>
        <v>1.4173997451920159</v>
      </c>
      <c r="D115" s="36">
        <f t="shared" si="47"/>
        <v>1.3244867300951426</v>
      </c>
      <c r="E115" s="36">
        <f t="shared" si="47"/>
        <v>0.99216646266829867</v>
      </c>
      <c r="F115" s="36">
        <f t="shared" si="47"/>
        <v>0.66872861279284024</v>
      </c>
      <c r="G115" s="36">
        <f t="shared" si="47"/>
        <v>1.9396412736799677</v>
      </c>
      <c r="H115" s="36">
        <f>IF(H90=0,100,H87/H90)</f>
        <v>2.5260322940369431</v>
      </c>
      <c r="I115" s="36">
        <f t="shared" si="47"/>
        <v>2.2646726475515129</v>
      </c>
      <c r="J115" s="36">
        <f t="shared" si="47"/>
        <v>2.7117933028780854</v>
      </c>
      <c r="K115" s="36">
        <f>IF(K90=0,100,K87/K90)</f>
        <v>3.6711370756899657</v>
      </c>
    </row>
    <row r="116" spans="1:11" x14ac:dyDescent="0.2">
      <c r="C116" s="36"/>
      <c r="D116" s="36"/>
      <c r="E116" s="36"/>
      <c r="F116" s="36"/>
      <c r="G116" s="36"/>
      <c r="H116" s="36"/>
      <c r="I116" s="36"/>
      <c r="J116" s="36"/>
      <c r="K116" s="36"/>
    </row>
    <row r="117" spans="1:11" ht="15.75" x14ac:dyDescent="0.25">
      <c r="A117" s="27" t="s">
        <v>207</v>
      </c>
    </row>
    <row r="118" spans="1:11" x14ac:dyDescent="0.2">
      <c r="A118" s="59" t="s">
        <v>160</v>
      </c>
      <c r="B118" s="71">
        <f t="shared" ref="B118:B124" si="48">ROW(A118)</f>
        <v>118</v>
      </c>
      <c r="C118" s="44">
        <f>VLOOKUP(C110,'Measure scoring'!$B$4:$C$10,2,TRUE)</f>
        <v>0.5</v>
      </c>
      <c r="D118" s="44">
        <f>VLOOKUP(D110,'Measure scoring'!$B$4:$C$10,2,TRUE)</f>
        <v>0.5</v>
      </c>
      <c r="E118" s="44">
        <f>VLOOKUP(E110,'Measure scoring'!$B$4:$C$10,2,TRUE)</f>
        <v>0.5</v>
      </c>
      <c r="F118" s="44">
        <f>VLOOKUP(F110,'Measure scoring'!$B$4:$C$10,2,TRUE)</f>
        <v>0.5</v>
      </c>
      <c r="G118" s="44">
        <f>VLOOKUP(G110,'Measure scoring'!$B$4:$C$10,2,TRUE)</f>
        <v>2</v>
      </c>
      <c r="H118" s="44">
        <f>VLOOKUP(H110,'Measure scoring'!$B$4:$C$10,2,TRUE)</f>
        <v>2</v>
      </c>
      <c r="I118" s="44">
        <f>VLOOKUP(I110,'Measure scoring'!$B$4:$C$10,2,TRUE)</f>
        <v>3</v>
      </c>
      <c r="J118" s="44">
        <f>VLOOKUP(J110,'Measure scoring'!$B$4:$C$10,2,TRUE)</f>
        <v>3</v>
      </c>
      <c r="K118" s="44">
        <f>VLOOKUP(K110,'Measure scoring'!$B$4:$C$10,2,TRUE)</f>
        <v>3</v>
      </c>
    </row>
    <row r="119" spans="1:11" x14ac:dyDescent="0.2">
      <c r="A119" s="59" t="s">
        <v>161</v>
      </c>
      <c r="B119" s="71">
        <f t="shared" si="48"/>
        <v>119</v>
      </c>
      <c r="C119" s="44">
        <f>VLOOKUP(C111,'Measure scoring'!$B$13:$C$19,2,TRUE)</f>
        <v>0.5</v>
      </c>
      <c r="D119" s="44">
        <f>VLOOKUP(D111,'Measure scoring'!$B$13:$C$19,2,TRUE)</f>
        <v>0.5</v>
      </c>
      <c r="E119" s="44">
        <f>VLOOKUP(E111,'Measure scoring'!$B$13:$C$19,2,TRUE)</f>
        <v>0.5</v>
      </c>
      <c r="F119" s="44">
        <f>VLOOKUP(F111,'Measure scoring'!$B$13:$C$19,2,TRUE)</f>
        <v>2</v>
      </c>
      <c r="G119" s="44">
        <f>VLOOKUP(G111,'Measure scoring'!$B$13:$C$19,2,TRUE)</f>
        <v>2</v>
      </c>
      <c r="H119" s="44">
        <f>VLOOKUP(H111,'Measure scoring'!$B$13:$C$19,2,TRUE)</f>
        <v>3</v>
      </c>
      <c r="I119" s="44">
        <f>VLOOKUP(I111,'Measure scoring'!$B$13:$C$19,2,TRUE)</f>
        <v>4</v>
      </c>
      <c r="J119" s="44">
        <f>VLOOKUP(J111,'Measure scoring'!$B$13:$C$19,2,TRUE)</f>
        <v>4</v>
      </c>
      <c r="K119" s="44">
        <f>VLOOKUP(K111,'Measure scoring'!$B$13:$C$19,2,TRUE)</f>
        <v>4</v>
      </c>
    </row>
    <row r="120" spans="1:11" x14ac:dyDescent="0.2">
      <c r="A120" s="59" t="s">
        <v>162</v>
      </c>
      <c r="B120" s="71">
        <f t="shared" si="48"/>
        <v>120</v>
      </c>
      <c r="C120" s="44">
        <f>VLOOKUP(C112,'Measure scoring'!$B$22:$C$28,2,TRUE)</f>
        <v>3</v>
      </c>
      <c r="D120" s="44">
        <f>VLOOKUP(D112,'Measure scoring'!$B$22:$C$28,2,TRUE)</f>
        <v>-2</v>
      </c>
      <c r="E120" s="44">
        <f>VLOOKUP(E112,'Measure scoring'!$B$22:$C$28,2,TRUE)</f>
        <v>-2</v>
      </c>
      <c r="F120" s="44">
        <f>VLOOKUP(F112,'Measure scoring'!$B$22:$C$28,2,TRUE)</f>
        <v>5</v>
      </c>
      <c r="G120" s="44">
        <f>VLOOKUP(G112,'Measure scoring'!$B$22:$C$28,2,TRUE)</f>
        <v>2</v>
      </c>
      <c r="H120" s="44">
        <f>VLOOKUP(H112,'Measure scoring'!$B$22:$C$28,2,TRUE)</f>
        <v>5</v>
      </c>
      <c r="I120" s="44">
        <f>VLOOKUP(I112,'Measure scoring'!$B$22:$C$28,2,TRUE)</f>
        <v>4</v>
      </c>
      <c r="J120" s="44">
        <f>VLOOKUP(J112,'Measure scoring'!$B$22:$C$28,2,TRUE)</f>
        <v>4</v>
      </c>
      <c r="K120" s="44">
        <f>VLOOKUP(K112,'Measure scoring'!$B$22:$C$28,2,TRUE)</f>
        <v>4</v>
      </c>
    </row>
    <row r="121" spans="1:11" x14ac:dyDescent="0.2">
      <c r="A121" s="59" t="s">
        <v>163</v>
      </c>
      <c r="B121" s="71">
        <f t="shared" si="48"/>
        <v>121</v>
      </c>
      <c r="C121" s="44">
        <f>VLOOKUP(C113,'Measure scoring'!$B$31:$C$37,2,TRUE)</f>
        <v>5</v>
      </c>
      <c r="D121" s="44">
        <f>VLOOKUP(D113,'Measure scoring'!$B$31:$C$37,2,TRUE)</f>
        <v>5</v>
      </c>
      <c r="E121" s="44">
        <f>VLOOKUP(E113,'Measure scoring'!$B$31:$C$37,2,TRUE)</f>
        <v>4</v>
      </c>
      <c r="F121" s="44">
        <f>VLOOKUP(F113,'Measure scoring'!$B$31:$C$37,2,TRUE)</f>
        <v>5</v>
      </c>
      <c r="G121" s="44">
        <f>VLOOKUP(G113,'Measure scoring'!$B$31:$C$37,2,TRUE)</f>
        <v>4</v>
      </c>
      <c r="H121" s="44">
        <f>VLOOKUP(H113,'Measure scoring'!$B$31:$C$37,2,TRUE)</f>
        <v>5</v>
      </c>
      <c r="I121" s="44">
        <f>VLOOKUP(I113,'Measure scoring'!$B$31:$C$37,2,TRUE)</f>
        <v>4</v>
      </c>
      <c r="J121" s="44">
        <f>VLOOKUP(J113,'Measure scoring'!$B$31:$C$37,2,TRUE)</f>
        <v>5</v>
      </c>
      <c r="K121" s="44">
        <f>VLOOKUP(K113,'Measure scoring'!$B$31:$C$37,2,TRUE)</f>
        <v>5</v>
      </c>
    </row>
    <row r="122" spans="1:11" x14ac:dyDescent="0.2">
      <c r="A122" s="59" t="s">
        <v>164</v>
      </c>
      <c r="B122" s="71">
        <f t="shared" si="48"/>
        <v>122</v>
      </c>
      <c r="C122" s="44">
        <f>VLOOKUP(C114,'Measure scoring'!$B$41:$C$50,2,TRUE)</f>
        <v>-2</v>
      </c>
      <c r="D122" s="44">
        <f>VLOOKUP(D114,'Measure scoring'!$B$41:$C$50,2,TRUE)</f>
        <v>-2</v>
      </c>
      <c r="E122" s="44">
        <f>VLOOKUP(E114,'Measure scoring'!$B$41:$C$50,2,TRUE)</f>
        <v>-2</v>
      </c>
      <c r="F122" s="44">
        <f>VLOOKUP(F114,'Measure scoring'!$B$41:$C$50,2,TRUE)</f>
        <v>-2</v>
      </c>
      <c r="G122" s="44">
        <f>VLOOKUP(G114,'Measure scoring'!$B$41:$C$50,2,TRUE)</f>
        <v>0.5</v>
      </c>
      <c r="H122" s="44">
        <f>VLOOKUP(H114,'Measure scoring'!$B$41:$C$50,2,TRUE)</f>
        <v>4</v>
      </c>
      <c r="I122" s="44">
        <f>VLOOKUP(I114,'Measure scoring'!$B$41:$C$50,2,TRUE)</f>
        <v>4</v>
      </c>
      <c r="J122" s="44">
        <f>VLOOKUP(J114,'Measure scoring'!$B$41:$C$50,2,TRUE)</f>
        <v>5</v>
      </c>
      <c r="K122" s="44">
        <f>VLOOKUP(K114,'Measure scoring'!$B$41:$C$50,2,TRUE)</f>
        <v>-2</v>
      </c>
    </row>
    <row r="123" spans="1:11" x14ac:dyDescent="0.2">
      <c r="A123" s="59" t="s">
        <v>159</v>
      </c>
      <c r="B123" s="71">
        <f t="shared" si="48"/>
        <v>123</v>
      </c>
      <c r="C123" s="44">
        <f>VLOOKUP(C115,'Measure scoring'!$B$53:$C$59,2,TRUE)</f>
        <v>2</v>
      </c>
      <c r="D123" s="44">
        <f>VLOOKUP(D115,'Measure scoring'!$B$53:$C$59,2,TRUE)</f>
        <v>2</v>
      </c>
      <c r="E123" s="44">
        <f>VLOOKUP(E115,'Measure scoring'!$B$53:$C$59,2,TRUE)</f>
        <v>0.5</v>
      </c>
      <c r="F123" s="44">
        <f>VLOOKUP(F115,'Measure scoring'!$B$53:$C$59,2,TRUE)</f>
        <v>0.5</v>
      </c>
      <c r="G123" s="44">
        <f>VLOOKUP(G115,'Measure scoring'!$B$53:$C$59,2,TRUE)</f>
        <v>3</v>
      </c>
      <c r="H123" s="44">
        <f>VLOOKUP(H115,'Measure scoring'!$B$53:$C$59,2,TRUE)</f>
        <v>5</v>
      </c>
      <c r="I123" s="44">
        <f>VLOOKUP(I115,'Measure scoring'!$B$53:$C$59,2,TRUE)</f>
        <v>4</v>
      </c>
      <c r="J123" s="44">
        <f>VLOOKUP(J115,'Measure scoring'!$B$53:$C$59,2,TRUE)</f>
        <v>5</v>
      </c>
      <c r="K123" s="44">
        <f>VLOOKUP(K115,'Measure scoring'!$B$53:$C$59,2,TRUE)</f>
        <v>5</v>
      </c>
    </row>
    <row r="124" spans="1:11" ht="16.5" thickBot="1" x14ac:dyDescent="0.3">
      <c r="A124" s="27" t="s">
        <v>197</v>
      </c>
      <c r="B124" s="71">
        <f t="shared" si="48"/>
        <v>124</v>
      </c>
      <c r="C124" s="54">
        <f t="shared" ref="C124:K124" si="49">AVERAGE(C118:C123)</f>
        <v>1.5</v>
      </c>
      <c r="D124" s="54">
        <f t="shared" si="49"/>
        <v>0.66666666666666663</v>
      </c>
      <c r="E124" s="54">
        <f t="shared" si="49"/>
        <v>0.25</v>
      </c>
      <c r="F124" s="54">
        <f t="shared" si="49"/>
        <v>1.8333333333333333</v>
      </c>
      <c r="G124" s="54">
        <f t="shared" si="49"/>
        <v>2.25</v>
      </c>
      <c r="H124" s="54">
        <f t="shared" si="49"/>
        <v>4</v>
      </c>
      <c r="I124" s="54">
        <f t="shared" si="49"/>
        <v>3.8333333333333335</v>
      </c>
      <c r="J124" s="54">
        <f t="shared" si="49"/>
        <v>4.333333333333333</v>
      </c>
      <c r="K124" s="54">
        <f t="shared" si="49"/>
        <v>3.1666666666666665</v>
      </c>
    </row>
    <row r="125" spans="1:11" ht="16.5" thickTop="1" x14ac:dyDescent="0.25">
      <c r="A125" s="27"/>
      <c r="C125" s="58"/>
      <c r="D125" s="58"/>
      <c r="E125" s="58"/>
      <c r="F125" s="58"/>
      <c r="G125" s="58"/>
      <c r="H125" s="58"/>
      <c r="I125" s="58"/>
      <c r="J125" s="58"/>
      <c r="K125" s="58"/>
    </row>
    <row r="126" spans="1:11" x14ac:dyDescent="0.2">
      <c r="A126" s="136" t="s">
        <v>476</v>
      </c>
      <c r="C126" s="270">
        <f t="shared" ref="C126:K126" si="50">C124</f>
        <v>1.5</v>
      </c>
      <c r="D126" s="270">
        <f t="shared" si="50"/>
        <v>0.66666666666666663</v>
      </c>
      <c r="E126" s="270">
        <f t="shared" si="50"/>
        <v>0.25</v>
      </c>
      <c r="F126" s="270">
        <f t="shared" si="50"/>
        <v>1.8333333333333333</v>
      </c>
      <c r="G126" s="270">
        <f t="shared" si="50"/>
        <v>2.25</v>
      </c>
      <c r="H126" s="270">
        <f t="shared" si="50"/>
        <v>4</v>
      </c>
      <c r="I126" s="270">
        <f t="shared" si="50"/>
        <v>3.8333333333333335</v>
      </c>
      <c r="J126" s="270">
        <f t="shared" si="50"/>
        <v>4.333333333333333</v>
      </c>
      <c r="K126" s="270">
        <f t="shared" si="50"/>
        <v>3.1666666666666665</v>
      </c>
    </row>
    <row r="127" spans="1:11" x14ac:dyDescent="0.2">
      <c r="A127" s="136" t="s">
        <v>431</v>
      </c>
      <c r="C127" s="270" t="str">
        <f t="shared" ref="C127:K127" si="51">IF(ISERROR(HLOOKUP((C$1-1),$C$1:$K$124,$B$124,FALSE))=TRUE,"NA",HLOOKUP((C$1-1),$C$1:$K$124,$B$124,FALSE))</f>
        <v>NA</v>
      </c>
      <c r="D127" s="270">
        <f t="shared" si="51"/>
        <v>1.5</v>
      </c>
      <c r="E127" s="270">
        <f t="shared" si="51"/>
        <v>0.66666666666666663</v>
      </c>
      <c r="F127" s="270">
        <f t="shared" si="51"/>
        <v>0.25</v>
      </c>
      <c r="G127" s="270">
        <f t="shared" si="51"/>
        <v>1.8333333333333333</v>
      </c>
      <c r="H127" s="270">
        <f t="shared" si="51"/>
        <v>2.25</v>
      </c>
      <c r="I127" s="270">
        <f t="shared" si="51"/>
        <v>4</v>
      </c>
      <c r="J127" s="270">
        <f t="shared" si="51"/>
        <v>3.8333333333333335</v>
      </c>
      <c r="K127" s="270">
        <f t="shared" si="51"/>
        <v>4.333333333333333</v>
      </c>
    </row>
    <row r="128" spans="1:11" x14ac:dyDescent="0.2">
      <c r="A128" s="136" t="s">
        <v>432</v>
      </c>
      <c r="C128" s="270" t="str">
        <f t="shared" ref="C128:K128" si="52">IF(ISERROR(HLOOKUP((C$1-2),$C$1:$K$124,$B$124,FALSE))=TRUE,"NA",HLOOKUP((C$1-2),$C$1:$K$124,$B$124,FALSE))</f>
        <v>NA</v>
      </c>
      <c r="D128" s="270" t="str">
        <f t="shared" si="52"/>
        <v>NA</v>
      </c>
      <c r="E128" s="270">
        <f t="shared" si="52"/>
        <v>1.5</v>
      </c>
      <c r="F128" s="270">
        <f t="shared" si="52"/>
        <v>0.66666666666666663</v>
      </c>
      <c r="G128" s="270">
        <f t="shared" si="52"/>
        <v>0.25</v>
      </c>
      <c r="H128" s="270">
        <f t="shared" si="52"/>
        <v>1.8333333333333333</v>
      </c>
      <c r="I128" s="270">
        <f t="shared" si="52"/>
        <v>2.25</v>
      </c>
      <c r="J128" s="270">
        <f t="shared" si="52"/>
        <v>4</v>
      </c>
      <c r="K128" s="270">
        <f t="shared" si="52"/>
        <v>3.8333333333333335</v>
      </c>
    </row>
    <row r="129" spans="1:11" ht="16.5" thickBot="1" x14ac:dyDescent="0.3">
      <c r="A129" s="27" t="s">
        <v>433</v>
      </c>
      <c r="C129" s="271" t="str">
        <f>IF(COUNT(C126:C128)=3,AVERAGE(C126:C128),"NA")</f>
        <v>NA</v>
      </c>
      <c r="D129" s="271" t="str">
        <f>IF(COUNT(D126:D128)=3,AVERAGE(D126:D128),"NA")</f>
        <v>NA</v>
      </c>
      <c r="E129" s="271">
        <f t="shared" ref="E129:K129" si="53">IF(COUNT(E126:E128)=3,AVERAGE(E126:E128),"NA")</f>
        <v>0.80555555555555547</v>
      </c>
      <c r="F129" s="271">
        <f t="shared" si="53"/>
        <v>0.91666666666666652</v>
      </c>
      <c r="G129" s="271">
        <f t="shared" si="53"/>
        <v>1.4444444444444444</v>
      </c>
      <c r="H129" s="271">
        <f t="shared" si="53"/>
        <v>2.6944444444444446</v>
      </c>
      <c r="I129" s="271">
        <f t="shared" si="53"/>
        <v>3.3611111111111112</v>
      </c>
      <c r="J129" s="271">
        <f t="shared" si="53"/>
        <v>4.0555555555555554</v>
      </c>
      <c r="K129" s="271">
        <f t="shared" si="53"/>
        <v>3.7777777777777781</v>
      </c>
    </row>
    <row r="130" spans="1:11" ht="15.75" x14ac:dyDescent="0.25">
      <c r="A130" s="27"/>
      <c r="C130" s="58"/>
      <c r="D130" s="58"/>
      <c r="E130" s="58"/>
      <c r="F130" s="58"/>
      <c r="G130" s="58"/>
      <c r="H130" s="58"/>
      <c r="I130" s="58"/>
      <c r="J130" s="58"/>
      <c r="K130" s="58"/>
    </row>
    <row r="131" spans="1:11" ht="15.75" x14ac:dyDescent="0.25">
      <c r="A131" s="27"/>
      <c r="C131" s="58"/>
      <c r="D131" s="58"/>
      <c r="E131" s="58"/>
      <c r="F131" s="58"/>
      <c r="G131" s="58"/>
      <c r="H131" s="58"/>
      <c r="I131" s="58"/>
      <c r="J131" s="58"/>
      <c r="K131" s="58"/>
    </row>
    <row r="132" spans="1:11" ht="15.75" x14ac:dyDescent="0.25">
      <c r="A132" s="27" t="s">
        <v>434</v>
      </c>
      <c r="C132" s="272">
        <v>0.67</v>
      </c>
      <c r="D132" s="272">
        <v>0.67</v>
      </c>
      <c r="E132" s="272">
        <v>0.67</v>
      </c>
      <c r="F132" s="272">
        <v>0.67</v>
      </c>
      <c r="G132" s="272">
        <v>0.67</v>
      </c>
      <c r="H132" s="272">
        <v>0.67</v>
      </c>
      <c r="I132" s="272">
        <v>0.67</v>
      </c>
      <c r="J132" s="272">
        <v>0.67</v>
      </c>
      <c r="K132" s="272">
        <v>0.67</v>
      </c>
    </row>
    <row r="133" spans="1:11" ht="15.75" x14ac:dyDescent="0.25">
      <c r="A133" s="27" t="s">
        <v>435</v>
      </c>
      <c r="C133" s="272">
        <v>0.33</v>
      </c>
      <c r="D133" s="272">
        <v>0.33</v>
      </c>
      <c r="E133" s="272">
        <v>0.33</v>
      </c>
      <c r="F133" s="272">
        <v>0.33</v>
      </c>
      <c r="G133" s="272">
        <v>0.33</v>
      </c>
      <c r="H133" s="272">
        <v>0.33</v>
      </c>
      <c r="I133" s="272">
        <v>0.33</v>
      </c>
      <c r="J133" s="272">
        <v>0.33</v>
      </c>
      <c r="K133" s="272">
        <v>0.33</v>
      </c>
    </row>
    <row r="134" spans="1:11" x14ac:dyDescent="0.2">
      <c r="A134" s="59" t="s">
        <v>160</v>
      </c>
      <c r="B134" s="71">
        <f t="shared" ref="B134:B139" si="54">ROW(A134)</f>
        <v>134</v>
      </c>
      <c r="C134" s="274">
        <f t="shared" ref="C134:K134" si="55">IF(ISERROR(HLOOKUP(C$1+1,$C$1:$K$124,ROW($A118),FALSE))=TRUE,"Year N/A",(C118*C$132+HLOOKUP(C$1+1,$C$1:$K$124,ROW($A118),FALSE)*C$133))</f>
        <v>0.5</v>
      </c>
      <c r="D134" s="274">
        <f t="shared" si="55"/>
        <v>0.5</v>
      </c>
      <c r="E134" s="274">
        <f t="shared" si="55"/>
        <v>0.5</v>
      </c>
      <c r="F134" s="274">
        <f t="shared" si="55"/>
        <v>0.99500000000000011</v>
      </c>
      <c r="G134" s="274">
        <f t="shared" si="55"/>
        <v>2</v>
      </c>
      <c r="H134" s="274">
        <f t="shared" si="55"/>
        <v>2.33</v>
      </c>
      <c r="I134" s="274">
        <f t="shared" si="55"/>
        <v>3</v>
      </c>
      <c r="J134" s="274">
        <f t="shared" si="55"/>
        <v>3</v>
      </c>
      <c r="K134" s="274" t="str">
        <f t="shared" si="55"/>
        <v>Year N/A</v>
      </c>
    </row>
    <row r="135" spans="1:11" x14ac:dyDescent="0.2">
      <c r="A135" s="59" t="s">
        <v>161</v>
      </c>
      <c r="B135" s="71">
        <f t="shared" si="54"/>
        <v>135</v>
      </c>
      <c r="C135" s="274">
        <f t="shared" ref="C135:K135" si="56">IF(ISERROR(HLOOKUP(C$1+1,$C$1:$K$124,ROW($A119),FALSE))=TRUE,"Year N/A",(C119*C$132+HLOOKUP(C$1+1,$C$1:$K$124,ROW($A119),FALSE)*C$133))</f>
        <v>0.5</v>
      </c>
      <c r="D135" s="274">
        <f t="shared" si="56"/>
        <v>0.5</v>
      </c>
      <c r="E135" s="274">
        <f t="shared" si="56"/>
        <v>0.99500000000000011</v>
      </c>
      <c r="F135" s="274">
        <f t="shared" si="56"/>
        <v>2</v>
      </c>
      <c r="G135" s="274">
        <f t="shared" si="56"/>
        <v>2.33</v>
      </c>
      <c r="H135" s="274">
        <f t="shared" si="56"/>
        <v>3.33</v>
      </c>
      <c r="I135" s="274">
        <f t="shared" si="56"/>
        <v>4</v>
      </c>
      <c r="J135" s="274">
        <f t="shared" si="56"/>
        <v>4</v>
      </c>
      <c r="K135" s="274" t="str">
        <f t="shared" si="56"/>
        <v>Year N/A</v>
      </c>
    </row>
    <row r="136" spans="1:11" x14ac:dyDescent="0.2">
      <c r="A136" s="59" t="s">
        <v>162</v>
      </c>
      <c r="B136" s="71">
        <f t="shared" si="54"/>
        <v>136</v>
      </c>
      <c r="C136" s="274">
        <f t="shared" ref="C136:K136" si="57">IF(ISERROR(HLOOKUP(C$1+1,$C$1:$K$124,ROW($A120),FALSE))=TRUE,"Year N/A",(C120*C$132+HLOOKUP(C$1+1,$C$1:$K$124,ROW($A120),FALSE)*C$133))</f>
        <v>1.35</v>
      </c>
      <c r="D136" s="274">
        <f t="shared" si="57"/>
        <v>-2</v>
      </c>
      <c r="E136" s="274">
        <f t="shared" si="57"/>
        <v>0.31000000000000005</v>
      </c>
      <c r="F136" s="274">
        <f t="shared" si="57"/>
        <v>4.01</v>
      </c>
      <c r="G136" s="274">
        <f t="shared" si="57"/>
        <v>2.99</v>
      </c>
      <c r="H136" s="274">
        <f t="shared" si="57"/>
        <v>4.67</v>
      </c>
      <c r="I136" s="274">
        <f t="shared" si="57"/>
        <v>4</v>
      </c>
      <c r="J136" s="274">
        <f t="shared" si="57"/>
        <v>4</v>
      </c>
      <c r="K136" s="274" t="str">
        <f t="shared" si="57"/>
        <v>Year N/A</v>
      </c>
    </row>
    <row r="137" spans="1:11" x14ac:dyDescent="0.2">
      <c r="A137" s="59" t="s">
        <v>163</v>
      </c>
      <c r="B137" s="71">
        <f t="shared" si="54"/>
        <v>137</v>
      </c>
      <c r="C137" s="274">
        <f t="shared" ref="C137:K137" si="58">IF(ISERROR(HLOOKUP(C$1+1,$C$1:$K$124,ROW($A121),FALSE))=TRUE,"Year N/A",(C121*C$132+HLOOKUP(C$1+1,$C$1:$K$124,ROW($A121),FALSE)*C$133))</f>
        <v>5</v>
      </c>
      <c r="D137" s="274">
        <f t="shared" si="58"/>
        <v>4.67</v>
      </c>
      <c r="E137" s="274">
        <f t="shared" si="58"/>
        <v>4.33</v>
      </c>
      <c r="F137" s="274">
        <f t="shared" si="58"/>
        <v>4.67</v>
      </c>
      <c r="G137" s="274">
        <f t="shared" si="58"/>
        <v>4.33</v>
      </c>
      <c r="H137" s="274">
        <f t="shared" si="58"/>
        <v>4.67</v>
      </c>
      <c r="I137" s="274">
        <f t="shared" si="58"/>
        <v>4.33</v>
      </c>
      <c r="J137" s="274">
        <f t="shared" si="58"/>
        <v>5</v>
      </c>
      <c r="K137" s="274" t="str">
        <f t="shared" si="58"/>
        <v>Year N/A</v>
      </c>
    </row>
    <row r="138" spans="1:11" x14ac:dyDescent="0.2">
      <c r="A138" s="59" t="s">
        <v>164</v>
      </c>
      <c r="B138" s="71">
        <f t="shared" si="54"/>
        <v>138</v>
      </c>
      <c r="C138" s="274">
        <f t="shared" ref="C138:K138" si="59">IF(ISERROR(HLOOKUP(C$1+1,$C$1:$K$124,ROW($A122),FALSE))=TRUE,"Year N/A",(C122*C$132+HLOOKUP(C$1+1,$C$1:$K$124,ROW($A122),FALSE)*C$133))</f>
        <v>-2</v>
      </c>
      <c r="D138" s="274">
        <f t="shared" si="59"/>
        <v>-2</v>
      </c>
      <c r="E138" s="274">
        <f t="shared" si="59"/>
        <v>-2</v>
      </c>
      <c r="F138" s="274">
        <f t="shared" si="59"/>
        <v>-1.175</v>
      </c>
      <c r="G138" s="274">
        <f t="shared" si="59"/>
        <v>1.655</v>
      </c>
      <c r="H138" s="274">
        <f t="shared" si="59"/>
        <v>4</v>
      </c>
      <c r="I138" s="274">
        <f t="shared" si="59"/>
        <v>4.33</v>
      </c>
      <c r="J138" s="274">
        <f t="shared" si="59"/>
        <v>2.69</v>
      </c>
      <c r="K138" s="274" t="str">
        <f t="shared" si="59"/>
        <v>Year N/A</v>
      </c>
    </row>
    <row r="139" spans="1:11" x14ac:dyDescent="0.2">
      <c r="A139" s="59" t="s">
        <v>159</v>
      </c>
      <c r="B139" s="71">
        <f t="shared" si="54"/>
        <v>139</v>
      </c>
      <c r="C139" s="274">
        <f t="shared" ref="C139:K139" si="60">IF(ISERROR(HLOOKUP(C$1+1,$C$1:$K$124,ROW($A123),FALSE))=TRUE,"Year N/A",(C123*C$132+HLOOKUP(C$1+1,$C$1:$K$124,ROW($A123),FALSE)*C$133))</f>
        <v>2</v>
      </c>
      <c r="D139" s="274">
        <f t="shared" si="60"/>
        <v>1.5050000000000001</v>
      </c>
      <c r="E139" s="274">
        <f t="shared" si="60"/>
        <v>0.5</v>
      </c>
      <c r="F139" s="274">
        <f t="shared" si="60"/>
        <v>1.325</v>
      </c>
      <c r="G139" s="274">
        <f t="shared" si="60"/>
        <v>3.66</v>
      </c>
      <c r="H139" s="274">
        <f t="shared" si="60"/>
        <v>4.67</v>
      </c>
      <c r="I139" s="274">
        <f t="shared" si="60"/>
        <v>4.33</v>
      </c>
      <c r="J139" s="274">
        <f t="shared" si="60"/>
        <v>5</v>
      </c>
      <c r="K139" s="274" t="str">
        <f t="shared" si="60"/>
        <v>Year N/A</v>
      </c>
    </row>
    <row r="140" spans="1:11" ht="16.5" thickBot="1" x14ac:dyDescent="0.3">
      <c r="A140" s="273" t="s">
        <v>436</v>
      </c>
      <c r="C140" s="275">
        <f t="shared" ref="C140:K140" si="61">IF(COUNT(C134:C139)=0,"N/A",AVERAGE(C134:C139))</f>
        <v>1.2249999999999999</v>
      </c>
      <c r="D140" s="275">
        <f t="shared" si="61"/>
        <v>0.52916666666666667</v>
      </c>
      <c r="E140" s="275">
        <f t="shared" si="61"/>
        <v>0.77249999999999996</v>
      </c>
      <c r="F140" s="275">
        <f t="shared" si="61"/>
        <v>1.9708333333333332</v>
      </c>
      <c r="G140" s="275">
        <f t="shared" si="61"/>
        <v>2.8275000000000001</v>
      </c>
      <c r="H140" s="275">
        <f t="shared" si="61"/>
        <v>3.9450000000000003</v>
      </c>
      <c r="I140" s="275">
        <f t="shared" si="61"/>
        <v>3.9983333333333335</v>
      </c>
      <c r="J140" s="275">
        <f t="shared" si="61"/>
        <v>3.9483333333333337</v>
      </c>
      <c r="K140" s="275" t="str">
        <f t="shared" si="61"/>
        <v>N/A</v>
      </c>
    </row>
    <row r="141" spans="1:11" ht="15.75" x14ac:dyDescent="0.25">
      <c r="A141" s="27"/>
      <c r="C141" s="58"/>
      <c r="D141" s="58"/>
      <c r="E141" s="58"/>
      <c r="F141" s="58"/>
      <c r="G141" s="58"/>
      <c r="H141" s="58"/>
      <c r="I141" s="58"/>
      <c r="J141" s="58"/>
      <c r="K141" s="58"/>
    </row>
    <row r="142" spans="1:11" ht="15.75" x14ac:dyDescent="0.25">
      <c r="A142" s="27" t="s">
        <v>208</v>
      </c>
    </row>
    <row r="143" spans="1:11" x14ac:dyDescent="0.2">
      <c r="A143" t="s">
        <v>165</v>
      </c>
      <c r="C143" s="30">
        <f t="shared" ref="C143:K143" si="62">C89/(C89+C22)</f>
        <v>7.5815642407002587E-2</v>
      </c>
      <c r="D143" s="30">
        <f t="shared" si="62"/>
        <v>8.637037702781647E-2</v>
      </c>
      <c r="E143" s="30">
        <f t="shared" si="62"/>
        <v>0.13004254446665642</v>
      </c>
      <c r="F143" s="30">
        <f t="shared" si="62"/>
        <v>0.14222470527499417</v>
      </c>
      <c r="G143" s="30">
        <f t="shared" si="62"/>
        <v>4.5621122303294272E-2</v>
      </c>
      <c r="H143" s="30">
        <f t="shared" si="62"/>
        <v>3.0437890892211165E-2</v>
      </c>
      <c r="I143" s="30">
        <f t="shared" si="62"/>
        <v>3.7921013298451454E-2</v>
      </c>
      <c r="J143" s="30">
        <f t="shared" si="62"/>
        <v>8.2238889249189248E-3</v>
      </c>
      <c r="K143" s="30">
        <f t="shared" si="62"/>
        <v>8.0127918978845809E-3</v>
      </c>
    </row>
    <row r="144" spans="1:11" x14ac:dyDescent="0.2">
      <c r="A144" t="s">
        <v>166</v>
      </c>
      <c r="C144" s="30" t="str">
        <f t="shared" ref="C144:J144" si="63">IF(C34="No","Not Available",C38/C37)</f>
        <v>Not Available</v>
      </c>
      <c r="D144" s="30" t="str">
        <f t="shared" si="63"/>
        <v>Not Available</v>
      </c>
      <c r="E144" s="30" t="str">
        <f t="shared" si="63"/>
        <v>Not Available</v>
      </c>
      <c r="F144" s="30" t="str">
        <f t="shared" si="63"/>
        <v>Not Available</v>
      </c>
      <c r="G144" s="30">
        <f t="shared" si="63"/>
        <v>0.99386027189936477</v>
      </c>
      <c r="H144" s="30">
        <f>IF(H34="No","Not Available",H38/H37)</f>
        <v>1.0167762335063473</v>
      </c>
      <c r="I144" s="30" t="str">
        <f t="shared" si="63"/>
        <v>Not Available</v>
      </c>
      <c r="J144" s="30" t="str">
        <f t="shared" si="63"/>
        <v>Not Available</v>
      </c>
      <c r="K144" s="30" t="str">
        <f>IF(K34="No","Not Available",K38/K37)</f>
        <v>Not Available</v>
      </c>
    </row>
    <row r="145" spans="1:11" x14ac:dyDescent="0.2">
      <c r="A145" t="s">
        <v>439</v>
      </c>
      <c r="C145" s="276" t="str">
        <f t="shared" ref="C145:J145" si="64">IF(C129="NA","Not Available",C129)</f>
        <v>Not Available</v>
      </c>
      <c r="D145" s="276" t="str">
        <f t="shared" si="64"/>
        <v>Not Available</v>
      </c>
      <c r="E145" s="276">
        <f t="shared" si="64"/>
        <v>0.80555555555555547</v>
      </c>
      <c r="F145" s="276">
        <f t="shared" si="64"/>
        <v>0.91666666666666652</v>
      </c>
      <c r="G145" s="276">
        <f t="shared" si="64"/>
        <v>1.4444444444444444</v>
      </c>
      <c r="H145" s="276">
        <f t="shared" si="64"/>
        <v>2.6944444444444446</v>
      </c>
      <c r="I145" s="276">
        <f t="shared" si="64"/>
        <v>3.3611111111111112</v>
      </c>
      <c r="J145" s="276">
        <f t="shared" si="64"/>
        <v>4.0555555555555554</v>
      </c>
      <c r="K145" s="276">
        <f>IF(K129="NA","Not Available",K129)</f>
        <v>3.7777777777777781</v>
      </c>
    </row>
    <row r="146" spans="1:11" x14ac:dyDescent="0.2">
      <c r="A146" t="s">
        <v>438</v>
      </c>
      <c r="C146" s="30" t="str">
        <f t="shared" ref="C146:J146" si="65">IF(C100="NA","Not Available",C100)</f>
        <v>Not Available</v>
      </c>
      <c r="D146" s="30" t="str">
        <f t="shared" si="65"/>
        <v>Not Available</v>
      </c>
      <c r="E146" s="30">
        <f t="shared" si="65"/>
        <v>5.2982836911349883E-2</v>
      </c>
      <c r="F146" s="30">
        <f t="shared" si="65"/>
        <v>5.4659404865276318E-2</v>
      </c>
      <c r="G146" s="30">
        <f t="shared" si="65"/>
        <v>5.9184411164785934E-2</v>
      </c>
      <c r="H146" s="30">
        <f t="shared" si="65"/>
        <v>7.2962185853257311E-2</v>
      </c>
      <c r="I146" s="30">
        <f t="shared" si="65"/>
        <v>8.0530456183066271E-2</v>
      </c>
      <c r="J146" s="30">
        <f t="shared" si="65"/>
        <v>8.3798347897801009E-2</v>
      </c>
      <c r="K146" s="30">
        <f>IF(K100="NA","Not Available",K100)</f>
        <v>8.4297501815063888E-2</v>
      </c>
    </row>
    <row r="147" spans="1:11" x14ac:dyDescent="0.2">
      <c r="A147" t="s">
        <v>293</v>
      </c>
      <c r="C147" s="90" t="str">
        <f t="shared" ref="C147:J147" si="66">IF(C89-C88&lt;0,"Score 5",IF(C95="NA","Not Available",(C89-C88)/C95))</f>
        <v>Score 5</v>
      </c>
      <c r="D147" s="90" t="str">
        <f t="shared" si="66"/>
        <v>Score 5</v>
      </c>
      <c r="E147" s="90">
        <f t="shared" si="66"/>
        <v>-8.295443103005395</v>
      </c>
      <c r="F147" s="90">
        <f t="shared" si="66"/>
        <v>-9.531243731193582</v>
      </c>
      <c r="G147" s="90">
        <f t="shared" si="66"/>
        <v>-1.9904629042485729</v>
      </c>
      <c r="H147" s="90" t="str">
        <f t="shared" si="66"/>
        <v>Score 5</v>
      </c>
      <c r="I147" s="90">
        <f t="shared" si="66"/>
        <v>0.26614674025225621</v>
      </c>
      <c r="J147" s="90" t="str">
        <f t="shared" si="66"/>
        <v>Score 5</v>
      </c>
      <c r="K147" s="90" t="str">
        <f>IF(K89-K88&lt;0,"Score 5",IF(K95="NA","Not Available",(K89-K88)/K95))</f>
        <v>Score 5</v>
      </c>
    </row>
    <row r="148" spans="1:11" x14ac:dyDescent="0.2">
      <c r="A148" t="s">
        <v>294</v>
      </c>
      <c r="C148" s="96" t="str">
        <f t="shared" ref="C148:K148" si="67">IF(C106="NA","Not Available",C104&amp;":"&amp;C105&amp;":"&amp;C106)</f>
        <v>Not Available</v>
      </c>
      <c r="D148" s="96" t="str">
        <f t="shared" si="67"/>
        <v>Not Available</v>
      </c>
      <c r="E148" s="96" t="str">
        <f t="shared" si="67"/>
        <v>Not Available</v>
      </c>
      <c r="F148" s="96" t="str">
        <f t="shared" si="67"/>
        <v>Not Available</v>
      </c>
      <c r="G148" s="96" t="str">
        <f t="shared" si="67"/>
        <v>2 - 2.99:High Variability:Favourable Trend</v>
      </c>
      <c r="H148" s="96" t="str">
        <f t="shared" si="67"/>
        <v>4 or above:High Variability:Favourable Trend</v>
      </c>
      <c r="I148" s="96" t="str">
        <f t="shared" si="67"/>
        <v>3 - 3.99:High Variability:Favourable Trend</v>
      </c>
      <c r="J148" s="96" t="str">
        <f t="shared" si="67"/>
        <v>4 or above:High Variability:Favourable Trend</v>
      </c>
      <c r="K148" s="96" t="str">
        <f t="shared" si="67"/>
        <v>3 - 3.99:High Variability:Favourable Trend</v>
      </c>
    </row>
    <row r="150" spans="1:11" x14ac:dyDescent="0.2">
      <c r="C150" s="53"/>
      <c r="D150" s="53"/>
      <c r="E150" s="53"/>
      <c r="F150" s="53"/>
      <c r="G150" s="53"/>
      <c r="H150" s="53"/>
      <c r="I150" s="53"/>
      <c r="J150" s="53"/>
      <c r="K150" s="53"/>
    </row>
    <row r="151" spans="1:11" ht="15.75" x14ac:dyDescent="0.25">
      <c r="A151" s="27" t="s">
        <v>167</v>
      </c>
    </row>
    <row r="152" spans="1:11" x14ac:dyDescent="0.2">
      <c r="A152" t="s">
        <v>165</v>
      </c>
      <c r="B152" s="71">
        <f t="shared" ref="B152:B157" si="68">ROW(A152)</f>
        <v>152</v>
      </c>
      <c r="C152" s="87">
        <f>IF(VLOOKUP(C143,'Measure scoring'!$B$63:$C$68,2,TRUE)=4,VLOOKUP(Calculations!C111,'Measure scoring'!$B$71:$C$74,2,TRUE),VLOOKUP(C143,'Measure scoring'!$B$63:$C$68,2,TRUE))</f>
        <v>2</v>
      </c>
      <c r="D152" s="87">
        <f>IF(VLOOKUP(D143,'Measure scoring'!$B$63:$C$68,2,TRUE)=4,VLOOKUP(Calculations!D111,'Measure scoring'!$B$71:$C$74,2,TRUE),VLOOKUP(D143,'Measure scoring'!$B$63:$C$68,2,TRUE))</f>
        <v>2</v>
      </c>
      <c r="E152" s="87">
        <f>IF(VLOOKUP(E143,'Measure scoring'!$B$63:$C$68,2,TRUE)=4,VLOOKUP(Calculations!E111,'Measure scoring'!$B$71:$C$74,2,TRUE),VLOOKUP(E143,'Measure scoring'!$B$63:$C$68,2,TRUE))</f>
        <v>2</v>
      </c>
      <c r="F152" s="87">
        <f>IF(VLOOKUP(F143,'Measure scoring'!$B$63:$C$68,2,TRUE)=4,VLOOKUP(Calculations!F111,'Measure scoring'!$B$71:$C$74,2,TRUE),VLOOKUP(F143,'Measure scoring'!$B$63:$C$68,2,TRUE))</f>
        <v>2</v>
      </c>
      <c r="G152" s="87">
        <f>IF(VLOOKUP(G143,'Measure scoring'!$B$63:$C$68,2,TRUE)=4,VLOOKUP(Calculations!G111,'Measure scoring'!$B$71:$C$74,2,TRUE),VLOOKUP(G143,'Measure scoring'!$B$63:$C$68,2,TRUE))</f>
        <v>3</v>
      </c>
      <c r="H152" s="87">
        <f>IF(VLOOKUP(H143,'Measure scoring'!$B$63:$C$68,2,TRUE)=4,VLOOKUP(Calculations!H111,'Measure scoring'!$B$71:$C$74,2,TRUE),VLOOKUP(H143,'Measure scoring'!$B$63:$C$68,2,TRUE))</f>
        <v>3</v>
      </c>
      <c r="I152" s="87">
        <f>IF(VLOOKUP(I143,'Measure scoring'!$B$63:$C$68,2,TRUE)=4,VLOOKUP(Calculations!I111,'Measure scoring'!$B$71:$C$74,2,TRUE),VLOOKUP(I143,'Measure scoring'!$B$63:$C$68,2,TRUE))</f>
        <v>3</v>
      </c>
      <c r="J152" s="87">
        <f>IF(VLOOKUP(J143,'Measure scoring'!$B$63:$C$68,2,TRUE)=4,VLOOKUP(Calculations!J111,'Measure scoring'!$B$71:$C$74,2,TRUE),VLOOKUP(J143,'Measure scoring'!$B$63:$C$68,2,TRUE))</f>
        <v>3</v>
      </c>
      <c r="K152" s="87">
        <f>IF(VLOOKUP(K143,'Measure scoring'!$B$63:$C$68,2,TRUE)=4,VLOOKUP(Calculations!K111,'Measure scoring'!$B$71:$C$74,2,TRUE),VLOOKUP(K143,'Measure scoring'!$B$63:$C$68,2,TRUE))</f>
        <v>3</v>
      </c>
    </row>
    <row r="153" spans="1:11" x14ac:dyDescent="0.2">
      <c r="A153" t="s">
        <v>166</v>
      </c>
      <c r="B153" s="71">
        <f t="shared" si="68"/>
        <v>153</v>
      </c>
      <c r="C153" s="87" t="str">
        <f>VLOOKUP(C144,'Measure scoring'!$B$77:$C$86,2,TRUE)</f>
        <v>NA</v>
      </c>
      <c r="D153" s="87" t="str">
        <f>VLOOKUP(D144,'Measure scoring'!$B$77:$C$86,2,TRUE)</f>
        <v>NA</v>
      </c>
      <c r="E153" s="87" t="str">
        <f>VLOOKUP(E144,'Measure scoring'!$B$77:$C$86,2,TRUE)</f>
        <v>NA</v>
      </c>
      <c r="F153" s="87" t="str">
        <f>VLOOKUP(F144,'Measure scoring'!$B$77:$C$86,2,TRUE)</f>
        <v>NA</v>
      </c>
      <c r="G153" s="87">
        <f>VLOOKUP(G144,'Measure scoring'!$B$77:$C$86,2,TRUE)</f>
        <v>5</v>
      </c>
      <c r="H153" s="87">
        <f>VLOOKUP(H144,'Measure scoring'!$B$77:$C$86,2,TRUE)</f>
        <v>4</v>
      </c>
      <c r="I153" s="87" t="str">
        <f>VLOOKUP(I144,'Measure scoring'!$B$77:$C$86,2,TRUE)</f>
        <v>NA</v>
      </c>
      <c r="J153" s="87" t="str">
        <f>VLOOKUP(J144,'Measure scoring'!$B$77:$C$86,2,TRUE)</f>
        <v>NA</v>
      </c>
      <c r="K153" s="87" t="str">
        <f>VLOOKUP(K144,'Measure scoring'!$B$77:$C$86,2,TRUE)</f>
        <v>NA</v>
      </c>
    </row>
    <row r="154" spans="1:11" x14ac:dyDescent="0.2">
      <c r="A154" t="s">
        <v>437</v>
      </c>
      <c r="B154" s="71">
        <f t="shared" si="68"/>
        <v>154</v>
      </c>
      <c r="C154" s="279" t="str">
        <f t="shared" ref="C154:I154" si="69">C129</f>
        <v>NA</v>
      </c>
      <c r="D154" s="279" t="str">
        <f t="shared" si="69"/>
        <v>NA</v>
      </c>
      <c r="E154" s="276">
        <f t="shared" si="69"/>
        <v>0.80555555555555547</v>
      </c>
      <c r="F154" s="276">
        <f t="shared" si="69"/>
        <v>0.91666666666666652</v>
      </c>
      <c r="G154" s="276">
        <f t="shared" si="69"/>
        <v>1.4444444444444444</v>
      </c>
      <c r="H154" s="276">
        <f t="shared" si="69"/>
        <v>2.6944444444444446</v>
      </c>
      <c r="I154" s="276">
        <f t="shared" si="69"/>
        <v>3.3611111111111112</v>
      </c>
      <c r="J154" s="276">
        <f>J129</f>
        <v>4.0555555555555554</v>
      </c>
      <c r="K154" s="276">
        <f>K129</f>
        <v>3.7777777777777781</v>
      </c>
    </row>
    <row r="155" spans="1:11" x14ac:dyDescent="0.2">
      <c r="A155" t="s">
        <v>438</v>
      </c>
      <c r="B155" s="71">
        <f t="shared" si="68"/>
        <v>155</v>
      </c>
      <c r="C155" s="87" t="str">
        <f>VLOOKUP(C146,'Measure scoring'!$B$89:$C$96,2,TRUE)</f>
        <v>NA</v>
      </c>
      <c r="D155" s="87" t="str">
        <f>VLOOKUP(D146,'Measure scoring'!$B$89:$C$96,2,TRUE)</f>
        <v>NA</v>
      </c>
      <c r="E155" s="87">
        <f>VLOOKUP(E146,'Measure scoring'!$B$89:$C$96,2,TRUE)</f>
        <v>3</v>
      </c>
      <c r="F155" s="87">
        <f>VLOOKUP(F146,'Measure scoring'!$B$89:$C$96,2,TRUE)</f>
        <v>3</v>
      </c>
      <c r="G155" s="87">
        <f>VLOOKUP(G146,'Measure scoring'!$B$89:$C$96,2,TRUE)</f>
        <v>3</v>
      </c>
      <c r="H155" s="87">
        <f>VLOOKUP(H146,'Measure scoring'!$B$89:$C$96,2,TRUE)</f>
        <v>4</v>
      </c>
      <c r="I155" s="87">
        <f>VLOOKUP(I146,'Measure scoring'!$B$89:$C$96,2,TRUE)</f>
        <v>4</v>
      </c>
      <c r="J155" s="87">
        <f>VLOOKUP(J146,'Measure scoring'!$B$89:$C$96,2,TRUE)</f>
        <v>4</v>
      </c>
      <c r="K155" s="87">
        <f>VLOOKUP(K146,'Measure scoring'!$B$89:$C$96,2,TRUE)</f>
        <v>4</v>
      </c>
    </row>
    <row r="156" spans="1:11" x14ac:dyDescent="0.2">
      <c r="A156" t="s">
        <v>293</v>
      </c>
      <c r="B156" s="71">
        <f t="shared" si="68"/>
        <v>156</v>
      </c>
      <c r="C156" s="87">
        <f>VLOOKUP(C147,'Measure scoring'!$B$99:$C$106,2,TRUE)</f>
        <v>5</v>
      </c>
      <c r="D156" s="87">
        <f>VLOOKUP(D147,'Measure scoring'!$B$99:$C$106,2,TRUE)</f>
        <v>5</v>
      </c>
      <c r="E156" s="87">
        <f>VLOOKUP(E147,'Measure scoring'!$B$99:$C$106,2,TRUE)</f>
        <v>-2</v>
      </c>
      <c r="F156" s="87">
        <f>VLOOKUP(F147,'Measure scoring'!$B$99:$C$106,2,TRUE)</f>
        <v>-2</v>
      </c>
      <c r="G156" s="87">
        <f>VLOOKUP(G147,'Measure scoring'!$B$99:$C$106,2,TRUE)</f>
        <v>-2</v>
      </c>
      <c r="H156" s="87">
        <f>VLOOKUP(H147,'Measure scoring'!$B$99:$C$106,2,TRUE)</f>
        <v>5</v>
      </c>
      <c r="I156" s="87">
        <f>VLOOKUP(I147,'Measure scoring'!$B$99:$C$106,2,TRUE)</f>
        <v>4</v>
      </c>
      <c r="J156" s="87">
        <f>VLOOKUP(J147,'Measure scoring'!$B$99:$C$106,2,TRUE)</f>
        <v>5</v>
      </c>
      <c r="K156" s="87">
        <f>VLOOKUP(K147,'Measure scoring'!$B$99:$C$106,2,TRUE)</f>
        <v>5</v>
      </c>
    </row>
    <row r="157" spans="1:11" x14ac:dyDescent="0.2">
      <c r="A157" t="s">
        <v>294</v>
      </c>
      <c r="B157" s="71">
        <f t="shared" si="68"/>
        <v>157</v>
      </c>
      <c r="C157" s="88" t="str">
        <f>VLOOKUP(C148,'Measure scoring'!$B$109:$E$126,4,FALSE)</f>
        <v>NA</v>
      </c>
      <c r="D157" s="88" t="str">
        <f>VLOOKUP(D148,'Measure scoring'!$B$109:$E$126,4,FALSE)</f>
        <v>NA</v>
      </c>
      <c r="E157" s="88" t="str">
        <f>VLOOKUP(E148,'Measure scoring'!$B$109:$E$126,4,FALSE)</f>
        <v>NA</v>
      </c>
      <c r="F157" s="88" t="str">
        <f>VLOOKUP(F148,'Measure scoring'!$B$109:$E$126,4,FALSE)</f>
        <v>NA</v>
      </c>
      <c r="G157" s="88">
        <f>VLOOKUP(G148,'Measure scoring'!$B$109:$E$126,4,FALSE)</f>
        <v>2</v>
      </c>
      <c r="H157" s="88">
        <f>VLOOKUP(H148,'Measure scoring'!$B$109:$E$126,4,FALSE)</f>
        <v>3</v>
      </c>
      <c r="I157" s="88">
        <f>VLOOKUP(I148,'Measure scoring'!$B$109:$E$126,4,FALSE)</f>
        <v>3</v>
      </c>
      <c r="J157" s="88">
        <f>VLOOKUP(J148,'Measure scoring'!$B$109:$E$126,4,FALSE)</f>
        <v>3</v>
      </c>
      <c r="K157" s="88">
        <f>VLOOKUP(K148,'Measure scoring'!$B$109:$E$126,4,FALSE)</f>
        <v>3</v>
      </c>
    </row>
    <row r="158" spans="1:11" ht="16.5" thickBot="1" x14ac:dyDescent="0.3">
      <c r="A158" s="27" t="s">
        <v>211</v>
      </c>
      <c r="C158" s="278">
        <f t="shared" ref="C158:K158" si="70">AVERAGE(C152:C157)</f>
        <v>3.5</v>
      </c>
      <c r="D158" s="278">
        <f t="shared" si="70"/>
        <v>3.5</v>
      </c>
      <c r="E158" s="278">
        <f t="shared" si="70"/>
        <v>0.95138888888888884</v>
      </c>
      <c r="F158" s="278">
        <f>AVERAGE(F152:F157)</f>
        <v>0.97916666666666652</v>
      </c>
      <c r="G158" s="278">
        <f t="shared" si="70"/>
        <v>2.074074074074074</v>
      </c>
      <c r="H158" s="278">
        <f t="shared" si="70"/>
        <v>3.6157407407407405</v>
      </c>
      <c r="I158" s="278">
        <f t="shared" si="70"/>
        <v>3.4722222222222223</v>
      </c>
      <c r="J158" s="278">
        <f t="shared" si="70"/>
        <v>3.8111111111111113</v>
      </c>
      <c r="K158" s="278">
        <f t="shared" si="70"/>
        <v>3.7555555555555555</v>
      </c>
    </row>
    <row r="159" spans="1:11" ht="15.75" thickTop="1" x14ac:dyDescent="0.2"/>
    <row r="160" spans="1:11" ht="15.75" x14ac:dyDescent="0.25">
      <c r="A160" s="27" t="s">
        <v>444</v>
      </c>
      <c r="C160" s="272">
        <v>0.8</v>
      </c>
      <c r="D160" s="272">
        <v>0.8</v>
      </c>
      <c r="E160" s="272">
        <v>0.8</v>
      </c>
      <c r="F160" s="272">
        <v>0.8</v>
      </c>
      <c r="G160" s="272">
        <v>0.8</v>
      </c>
      <c r="H160" s="272">
        <v>0.8</v>
      </c>
      <c r="I160" s="272">
        <v>0.8</v>
      </c>
      <c r="J160" s="272">
        <v>0.8</v>
      </c>
      <c r="K160" s="272">
        <v>0.8</v>
      </c>
    </row>
    <row r="161" spans="1:12" ht="15.75" x14ac:dyDescent="0.25">
      <c r="A161" s="27" t="s">
        <v>445</v>
      </c>
      <c r="C161" s="272">
        <v>0.2</v>
      </c>
      <c r="D161" s="272">
        <v>0.2</v>
      </c>
      <c r="E161" s="272">
        <v>0.2</v>
      </c>
      <c r="F161" s="272">
        <v>0.2</v>
      </c>
      <c r="G161" s="272">
        <v>0.2</v>
      </c>
      <c r="H161" s="272">
        <v>0.2</v>
      </c>
      <c r="I161" s="272">
        <v>0.2</v>
      </c>
      <c r="J161" s="272">
        <v>0.2</v>
      </c>
      <c r="K161" s="272">
        <v>0.2</v>
      </c>
    </row>
    <row r="162" spans="1:12" x14ac:dyDescent="0.2">
      <c r="A162" t="s">
        <v>165</v>
      </c>
      <c r="B162" s="71">
        <f t="shared" ref="B162:B167" si="71">ROW(A162)</f>
        <v>162</v>
      </c>
      <c r="C162" s="274" t="str">
        <f t="shared" ref="C162:K162" si="72">IF(C152="NA","NA",IF(ISERROR(HLOOKUP(C$1-1,$C$1:$K$158,ROW($A152),FALSE))=TRUE,"Year N/A",IF(HLOOKUP(C$1-1,$C$1:$K$158,ROW($A152),FALSE)="NA","NA",(C152*C$160+HLOOKUP(C$1-1,$C$1:$K$158,ROW($A152),FALSE)*C$161))))</f>
        <v>Year N/A</v>
      </c>
      <c r="D162" s="274">
        <f t="shared" si="72"/>
        <v>2</v>
      </c>
      <c r="E162" s="274">
        <f t="shared" si="72"/>
        <v>2</v>
      </c>
      <c r="F162" s="274">
        <f t="shared" si="72"/>
        <v>2</v>
      </c>
      <c r="G162" s="274">
        <f t="shared" si="72"/>
        <v>2.8000000000000003</v>
      </c>
      <c r="H162" s="274">
        <f t="shared" si="72"/>
        <v>3.0000000000000004</v>
      </c>
      <c r="I162" s="274">
        <f t="shared" si="72"/>
        <v>3.0000000000000004</v>
      </c>
      <c r="J162" s="274">
        <f t="shared" si="72"/>
        <v>3.0000000000000004</v>
      </c>
      <c r="K162" s="274">
        <f t="shared" si="72"/>
        <v>3.0000000000000004</v>
      </c>
    </row>
    <row r="163" spans="1:12" x14ac:dyDescent="0.2">
      <c r="A163" t="s">
        <v>166</v>
      </c>
      <c r="B163" s="71">
        <f t="shared" si="71"/>
        <v>163</v>
      </c>
      <c r="C163" s="274" t="str">
        <f t="shared" ref="C163:K163" si="73">IF(C153="NA","NA",IF(ISERROR(HLOOKUP(C$1-1,$C$1:$K$158,ROW($A153),FALSE))=TRUE,"Year N/A",IF(HLOOKUP(C$1-1,$C$1:$K$158,ROW($A153),FALSE)="NA","NA",(C153*C$160+HLOOKUP(C$1-1,$C$1:$K$158,ROW($A153),FALSE)*C$161))))</f>
        <v>NA</v>
      </c>
      <c r="D163" s="274" t="str">
        <f t="shared" si="73"/>
        <v>NA</v>
      </c>
      <c r="E163" s="274" t="str">
        <f t="shared" si="73"/>
        <v>NA</v>
      </c>
      <c r="F163" s="274" t="str">
        <f t="shared" si="73"/>
        <v>NA</v>
      </c>
      <c r="G163" s="274" t="str">
        <f t="shared" si="73"/>
        <v>NA</v>
      </c>
      <c r="H163" s="274">
        <f t="shared" si="73"/>
        <v>4.2</v>
      </c>
      <c r="I163" s="274" t="str">
        <f t="shared" si="73"/>
        <v>NA</v>
      </c>
      <c r="J163" s="274" t="str">
        <f t="shared" si="73"/>
        <v>NA</v>
      </c>
      <c r="K163" s="274" t="str">
        <f t="shared" si="73"/>
        <v>NA</v>
      </c>
    </row>
    <row r="164" spans="1:12" x14ac:dyDescent="0.2">
      <c r="A164" t="s">
        <v>437</v>
      </c>
      <c r="B164" s="71">
        <f t="shared" si="71"/>
        <v>164</v>
      </c>
      <c r="C164" s="274" t="str">
        <f t="shared" ref="C164:K164" si="74">IF(C154="NA","NA",IF(ISERROR(HLOOKUP(C$1-1,$C$1:$K$158,ROW($A154),FALSE))=TRUE,"Year N/A",IF(HLOOKUP(C$1-1,$C$1:$K$158,ROW($A154),FALSE)="NA","NA",(C154*C$160+HLOOKUP(C$1-1,$C$1:$K$158,ROW($A154),FALSE)*C$161))))</f>
        <v>NA</v>
      </c>
      <c r="D164" s="274" t="str">
        <f t="shared" si="74"/>
        <v>NA</v>
      </c>
      <c r="E164" s="274" t="str">
        <f t="shared" si="74"/>
        <v>NA</v>
      </c>
      <c r="F164" s="274">
        <f t="shared" si="74"/>
        <v>0.89444444444444438</v>
      </c>
      <c r="G164" s="274">
        <f t="shared" si="74"/>
        <v>1.338888888888889</v>
      </c>
      <c r="H164" s="274">
        <f t="shared" si="74"/>
        <v>2.4444444444444446</v>
      </c>
      <c r="I164" s="274">
        <f t="shared" si="74"/>
        <v>3.2277777777777779</v>
      </c>
      <c r="J164" s="274">
        <f t="shared" si="74"/>
        <v>3.916666666666667</v>
      </c>
      <c r="K164" s="274">
        <f t="shared" si="74"/>
        <v>3.8333333333333339</v>
      </c>
    </row>
    <row r="165" spans="1:12" x14ac:dyDescent="0.2">
      <c r="A165" t="s">
        <v>438</v>
      </c>
      <c r="B165" s="71">
        <f t="shared" si="71"/>
        <v>165</v>
      </c>
      <c r="C165" s="274" t="str">
        <f t="shared" ref="C165:K165" si="75">IF(C155="NA","NA",IF(ISERROR(HLOOKUP(C$1-1,$C$1:$K$158,ROW($A155),FALSE))=TRUE,"Year N/A",IF(HLOOKUP(C$1-1,$C$1:$K$158,ROW($A155),FALSE)="NA","NA",(C155*C$160+HLOOKUP(C$1-1,$C$1:$K$158,ROW($A155),FALSE)*C$161))))</f>
        <v>NA</v>
      </c>
      <c r="D165" s="274" t="str">
        <f t="shared" si="75"/>
        <v>NA</v>
      </c>
      <c r="E165" s="274" t="str">
        <f t="shared" si="75"/>
        <v>NA</v>
      </c>
      <c r="F165" s="274">
        <f t="shared" si="75"/>
        <v>3.0000000000000004</v>
      </c>
      <c r="G165" s="274">
        <f t="shared" si="75"/>
        <v>3.0000000000000004</v>
      </c>
      <c r="H165" s="274">
        <f t="shared" si="75"/>
        <v>3.8000000000000003</v>
      </c>
      <c r="I165" s="274">
        <f t="shared" si="75"/>
        <v>4</v>
      </c>
      <c r="J165" s="274">
        <f t="shared" si="75"/>
        <v>4</v>
      </c>
      <c r="K165" s="274">
        <f t="shared" si="75"/>
        <v>4</v>
      </c>
    </row>
    <row r="166" spans="1:12" x14ac:dyDescent="0.2">
      <c r="A166" t="s">
        <v>293</v>
      </c>
      <c r="B166" s="71">
        <f t="shared" si="71"/>
        <v>166</v>
      </c>
      <c r="C166" s="274" t="str">
        <f t="shared" ref="C166:K166" si="76">IF(C156="NA","NA",IF(ISERROR(HLOOKUP(C$1-1,$C$1:$K$158,ROW($A156),FALSE))=TRUE,"Year N/A",IF(HLOOKUP(C$1-1,$C$1:$K$158,ROW($A156),FALSE)="NA","NA",(C156*C$160+HLOOKUP(C$1-1,$C$1:$K$158,ROW($A156),FALSE)*C$161))))</f>
        <v>Year N/A</v>
      </c>
      <c r="D166" s="274">
        <f t="shared" si="76"/>
        <v>5</v>
      </c>
      <c r="E166" s="274">
        <f t="shared" si="76"/>
        <v>-0.60000000000000009</v>
      </c>
      <c r="F166" s="274">
        <f t="shared" si="76"/>
        <v>-2</v>
      </c>
      <c r="G166" s="274">
        <f t="shared" si="76"/>
        <v>-2</v>
      </c>
      <c r="H166" s="274">
        <f t="shared" si="76"/>
        <v>3.6</v>
      </c>
      <c r="I166" s="274">
        <f t="shared" si="76"/>
        <v>4.2</v>
      </c>
      <c r="J166" s="274">
        <f t="shared" si="76"/>
        <v>4.8</v>
      </c>
      <c r="K166" s="274">
        <f t="shared" si="76"/>
        <v>5</v>
      </c>
    </row>
    <row r="167" spans="1:12" x14ac:dyDescent="0.2">
      <c r="A167" t="s">
        <v>294</v>
      </c>
      <c r="B167" s="71">
        <f t="shared" si="71"/>
        <v>167</v>
      </c>
      <c r="C167" s="274" t="str">
        <f t="shared" ref="C167:K167" si="77">IF(C157="NA","NA",IF(ISERROR(HLOOKUP(C$1-1,$C$1:$K$158,ROW($A157),FALSE))=TRUE,"Year N/A",IF(HLOOKUP(C$1-1,$C$1:$K$158,ROW($A157),FALSE)="NA","NA",(C157*C$160+HLOOKUP(C$1-1,$C$1:$K$158,ROW($A157),FALSE)*C$161))))</f>
        <v>NA</v>
      </c>
      <c r="D167" s="274" t="str">
        <f t="shared" si="77"/>
        <v>NA</v>
      </c>
      <c r="E167" s="274" t="str">
        <f t="shared" si="77"/>
        <v>NA</v>
      </c>
      <c r="F167" s="274" t="str">
        <f t="shared" si="77"/>
        <v>NA</v>
      </c>
      <c r="G167" s="274" t="str">
        <f t="shared" si="77"/>
        <v>NA</v>
      </c>
      <c r="H167" s="274">
        <f t="shared" si="77"/>
        <v>2.8000000000000003</v>
      </c>
      <c r="I167" s="274">
        <f t="shared" si="77"/>
        <v>3.0000000000000004</v>
      </c>
      <c r="J167" s="274">
        <f t="shared" si="77"/>
        <v>3.0000000000000004</v>
      </c>
      <c r="K167" s="274">
        <f t="shared" si="77"/>
        <v>3.0000000000000004</v>
      </c>
    </row>
    <row r="168" spans="1:12" ht="16.5" thickBot="1" x14ac:dyDescent="0.3">
      <c r="A168" s="273" t="s">
        <v>436</v>
      </c>
      <c r="C168" s="277" t="str">
        <f t="shared" ref="C168:K168" si="78">IF(ISERROR(HLOOKUP(C$1-1,$C$1:$K$158,ROW($A158),FALSE))=TRUE,"NA",(C160*C$158+HLOOKUP(C$1-1,$C$1:$K$158,ROW($A158),FALSE)*C161))</f>
        <v>NA</v>
      </c>
      <c r="D168" s="277">
        <f t="shared" si="78"/>
        <v>3.5000000000000004</v>
      </c>
      <c r="E168" s="277">
        <f t="shared" si="78"/>
        <v>1.4611111111111112</v>
      </c>
      <c r="F168" s="277">
        <f t="shared" si="78"/>
        <v>0.97361111111111098</v>
      </c>
      <c r="G168" s="277">
        <f t="shared" si="78"/>
        <v>1.8550925925925925</v>
      </c>
      <c r="H168" s="277">
        <f t="shared" si="78"/>
        <v>3.3074074074074074</v>
      </c>
      <c r="I168" s="277">
        <f t="shared" si="78"/>
        <v>3.5009259259259262</v>
      </c>
      <c r="J168" s="277">
        <f t="shared" si="78"/>
        <v>3.7433333333333341</v>
      </c>
      <c r="K168" s="277">
        <f t="shared" si="78"/>
        <v>3.7666666666666671</v>
      </c>
    </row>
    <row r="171" spans="1:12" ht="15.75" x14ac:dyDescent="0.25">
      <c r="A171" s="27" t="s">
        <v>300</v>
      </c>
      <c r="C171" s="27">
        <f>C1</f>
        <v>2006</v>
      </c>
      <c r="D171" s="27">
        <f t="shared" ref="D171:K171" si="79">D1</f>
        <v>2007</v>
      </c>
      <c r="E171" s="27">
        <f t="shared" si="79"/>
        <v>2008</v>
      </c>
      <c r="F171" s="27">
        <f t="shared" si="79"/>
        <v>2009</v>
      </c>
      <c r="G171" s="27">
        <f t="shared" si="79"/>
        <v>2010</v>
      </c>
      <c r="H171" s="27">
        <f t="shared" si="79"/>
        <v>2011</v>
      </c>
      <c r="I171" s="27">
        <f t="shared" si="79"/>
        <v>2012</v>
      </c>
      <c r="J171" s="27">
        <f t="shared" si="79"/>
        <v>2013</v>
      </c>
      <c r="K171" s="27">
        <f t="shared" si="79"/>
        <v>2014</v>
      </c>
    </row>
    <row r="172" spans="1:12" x14ac:dyDescent="0.2">
      <c r="A172" t="s">
        <v>310</v>
      </c>
      <c r="C172" s="125">
        <f>C4/1000</f>
        <v>93.424999999999997</v>
      </c>
      <c r="D172" s="125">
        <f t="shared" ref="D172:K172" si="80">D4/1000</f>
        <v>97.573999999999998</v>
      </c>
      <c r="E172" s="125">
        <f t="shared" si="80"/>
        <v>95.46</v>
      </c>
      <c r="F172" s="125">
        <f t="shared" si="80"/>
        <v>98.222999999999999</v>
      </c>
      <c r="G172" s="125">
        <f t="shared" si="80"/>
        <v>107.441</v>
      </c>
      <c r="H172" s="125">
        <f t="shared" si="80"/>
        <v>109.41053500000004</v>
      </c>
      <c r="I172" s="125">
        <f t="shared" si="80"/>
        <v>112.04358992075176</v>
      </c>
      <c r="J172" s="125">
        <f t="shared" si="80"/>
        <v>106.90380783292346</v>
      </c>
      <c r="K172" s="125">
        <f t="shared" si="80"/>
        <v>108.71787504187073</v>
      </c>
    </row>
    <row r="173" spans="1:12" x14ac:dyDescent="0.2">
      <c r="A173" s="120" t="s">
        <v>311</v>
      </c>
      <c r="C173" s="125">
        <f>Financials!E71/1000</f>
        <v>94.192999999999998</v>
      </c>
      <c r="D173" s="125">
        <f>Financials!F71/1000</f>
        <v>98.033000000000001</v>
      </c>
      <c r="E173" s="125">
        <f>Financials!G71/1000</f>
        <v>98.126000000000005</v>
      </c>
      <c r="F173" s="125">
        <f>Financials!H71/1000</f>
        <v>99.085999999999999</v>
      </c>
      <c r="G173" s="125">
        <f>Financials!I71/1000</f>
        <v>107.066</v>
      </c>
      <c r="H173" s="125">
        <f>Financials!J71/1000</f>
        <v>107.0298647731054</v>
      </c>
      <c r="I173" s="125">
        <f>Financials!K71/1000</f>
        <v>107.328926970475</v>
      </c>
      <c r="J173" s="125">
        <f>Financials!L71/1000</f>
        <v>103.12135330394042</v>
      </c>
      <c r="K173" s="125">
        <f>Financials!M71/1000</f>
        <v>104.47327381154371</v>
      </c>
    </row>
    <row r="174" spans="1:12" s="31" customFormat="1" x14ac:dyDescent="0.2">
      <c r="A174" s="120" t="s">
        <v>301</v>
      </c>
      <c r="B174"/>
      <c r="C174" s="125">
        <f>Financials!E73/1000</f>
        <v>-0.76800000000000002</v>
      </c>
      <c r="D174" s="125">
        <f>Financials!F73/1000</f>
        <v>-0.45900000000000002</v>
      </c>
      <c r="E174" s="125">
        <f>Financials!G73/1000</f>
        <v>-2.6659999999999999</v>
      </c>
      <c r="F174" s="125">
        <f>Financials!H73/1000</f>
        <v>-0.86299999999999999</v>
      </c>
      <c r="G174" s="125">
        <f>Financials!I73/1000</f>
        <v>0.375</v>
      </c>
      <c r="H174" s="125">
        <f>Financials!J73/1000</f>
        <v>2.3806702268946247</v>
      </c>
      <c r="I174" s="125">
        <f>Financials!K73/1000</f>
        <v>4.714662950276761</v>
      </c>
      <c r="J174" s="125">
        <f>Financials!L73/1000</f>
        <v>3.7824545289830276</v>
      </c>
      <c r="K174" s="125">
        <f>Financials!M73/1000</f>
        <v>4.2446012303270111</v>
      </c>
      <c r="L174" s="73"/>
    </row>
    <row r="175" spans="1:12" s="31" customFormat="1" x14ac:dyDescent="0.2">
      <c r="A175" s="120" t="s">
        <v>314</v>
      </c>
      <c r="B175"/>
      <c r="C175" s="125">
        <f>Financials!E75/1000</f>
        <v>-0.68100000000000005</v>
      </c>
      <c r="D175" s="125">
        <f>Financials!F75/1000</f>
        <v>-13.292999999999999</v>
      </c>
      <c r="E175" s="125">
        <f>Financials!G75/1000</f>
        <v>0.872</v>
      </c>
      <c r="F175" s="125">
        <f>Financials!H75/1000</f>
        <v>1.1870000000000001</v>
      </c>
      <c r="G175" s="125">
        <f>Financials!I75/1000</f>
        <v>0.47099999999999997</v>
      </c>
      <c r="H175" s="125">
        <f>Financials!J75/1000</f>
        <v>-2.4</v>
      </c>
      <c r="I175" s="125">
        <f>Financials!K75/1000</f>
        <v>-2.25</v>
      </c>
      <c r="J175" s="125">
        <f>Financials!L75/1000</f>
        <v>0</v>
      </c>
      <c r="K175" s="125">
        <f>Financials!M75/1000</f>
        <v>0</v>
      </c>
      <c r="L175" s="73"/>
    </row>
    <row r="176" spans="1:12" s="31" customFormat="1" x14ac:dyDescent="0.2">
      <c r="A176" s="120" t="s">
        <v>315</v>
      </c>
      <c r="B176"/>
      <c r="C176" s="125">
        <f>Financials!E77/1000</f>
        <v>-8.6999999999999994E-2</v>
      </c>
      <c r="D176" s="125">
        <f>Financials!F77/1000</f>
        <v>12.834</v>
      </c>
      <c r="E176" s="125">
        <f>Financials!G77/1000</f>
        <v>-3.5379999999999998</v>
      </c>
      <c r="F176" s="125">
        <f>Financials!H77/1000</f>
        <v>-2.0499999999999998</v>
      </c>
      <c r="G176" s="125">
        <f>Financials!I77/1000</f>
        <v>-9.6000000000000002E-2</v>
      </c>
      <c r="H176" s="125">
        <f>Financials!J77/1000</f>
        <v>4.7806702268946246</v>
      </c>
      <c r="I176" s="125">
        <f>Financials!K77/1000</f>
        <v>6.964662950276761</v>
      </c>
      <c r="J176" s="125">
        <f>Financials!L77/1000</f>
        <v>3.7824545289830276</v>
      </c>
      <c r="K176" s="125">
        <f>Financials!M77/1000</f>
        <v>4.2446012303270111</v>
      </c>
      <c r="L176" s="73"/>
    </row>
    <row r="177" spans="1:11" x14ac:dyDescent="0.2">
      <c r="A177" s="120" t="s">
        <v>302</v>
      </c>
      <c r="B177" s="120"/>
      <c r="C177" s="127">
        <f>C41</f>
        <v>6088</v>
      </c>
      <c r="D177" s="127">
        <f t="shared" ref="D177:K177" si="81">D41</f>
        <v>9215</v>
      </c>
      <c r="E177" s="127">
        <f t="shared" si="81"/>
        <v>7928</v>
      </c>
      <c r="F177" s="127">
        <f t="shared" si="81"/>
        <v>7568</v>
      </c>
      <c r="G177" s="127">
        <f t="shared" si="81"/>
        <v>7688</v>
      </c>
      <c r="H177" s="127">
        <f t="shared" si="81"/>
        <v>7608.5</v>
      </c>
      <c r="I177" s="127">
        <f t="shared" si="81"/>
        <v>7789.5</v>
      </c>
      <c r="J177" s="127">
        <f t="shared" si="81"/>
        <v>7454</v>
      </c>
      <c r="K177" s="127">
        <f t="shared" si="81"/>
        <v>7424</v>
      </c>
    </row>
    <row r="178" spans="1:11" x14ac:dyDescent="0.2">
      <c r="A178" s="120" t="s">
        <v>299</v>
      </c>
      <c r="B178" s="120"/>
      <c r="C178" s="127">
        <f>Financials!E293</f>
        <v>911</v>
      </c>
      <c r="D178" s="127">
        <f>Financials!F293</f>
        <v>888</v>
      </c>
      <c r="E178" s="127">
        <f>Financials!G293</f>
        <v>602</v>
      </c>
      <c r="F178" s="127">
        <f>Financials!H293</f>
        <v>492</v>
      </c>
      <c r="G178" s="127">
        <f>Financials!I293</f>
        <v>579</v>
      </c>
      <c r="H178" s="127">
        <f>Financials!J293</f>
        <v>594</v>
      </c>
      <c r="I178" s="127">
        <f>Financials!K293</f>
        <v>630</v>
      </c>
      <c r="J178" s="127">
        <f>Financials!L293</f>
        <v>690</v>
      </c>
      <c r="K178" s="127">
        <f>Financials!M293</f>
        <v>775</v>
      </c>
    </row>
    <row r="179" spans="1:11" x14ac:dyDescent="0.2">
      <c r="A179" s="120" t="s">
        <v>312</v>
      </c>
      <c r="B179" s="120"/>
      <c r="C179" s="127">
        <f>Financials!E282+Financials!E298</f>
        <v>3070</v>
      </c>
      <c r="D179" s="127">
        <f>Financials!F282+Financials!F298</f>
        <v>1360</v>
      </c>
      <c r="E179" s="127">
        <f>Financials!G282+Financials!G298</f>
        <v>1195</v>
      </c>
      <c r="F179" s="127">
        <f>Financials!H282+Financials!H298</f>
        <v>1254</v>
      </c>
      <c r="G179" s="127">
        <f>Financials!I282+Financials!I298</f>
        <v>1390</v>
      </c>
      <c r="H179" s="127">
        <f>Financials!J282+Financials!J298</f>
        <v>1291</v>
      </c>
      <c r="I179" s="127">
        <f>Financials!K282+Financials!K298</f>
        <v>1289</v>
      </c>
      <c r="J179" s="127">
        <f>Financials!L282+Financials!L298</f>
        <v>1153</v>
      </c>
      <c r="K179" s="127">
        <f>Financials!M282+Financials!M298</f>
        <v>1153</v>
      </c>
    </row>
    <row r="180" spans="1:11" x14ac:dyDescent="0.2">
      <c r="A180" s="120" t="s">
        <v>141</v>
      </c>
      <c r="B180" s="120"/>
      <c r="C180" s="127">
        <f>Financials!E299</f>
        <v>10069</v>
      </c>
      <c r="D180" s="127">
        <f>Financials!F299</f>
        <v>11463</v>
      </c>
      <c r="E180" s="127">
        <f>Financials!G299</f>
        <v>9725</v>
      </c>
      <c r="F180" s="127">
        <f>Financials!H299</f>
        <v>9314</v>
      </c>
      <c r="G180" s="127">
        <f>Financials!I299</f>
        <v>9657</v>
      </c>
      <c r="H180" s="127">
        <f>Financials!J299</f>
        <v>9493.5</v>
      </c>
      <c r="I180" s="127">
        <f>Financials!K299</f>
        <v>9708.5</v>
      </c>
      <c r="J180" s="127">
        <f>Financials!L299</f>
        <v>9297</v>
      </c>
      <c r="K180" s="127">
        <f>Financials!M299</f>
        <v>9352</v>
      </c>
    </row>
    <row r="181" spans="1:11" x14ac:dyDescent="0.2">
      <c r="A181" s="120" t="s">
        <v>313</v>
      </c>
      <c r="C181" s="126">
        <f>C177+C178+C179-C180</f>
        <v>0</v>
      </c>
      <c r="D181" s="126">
        <f t="shared" ref="D181:K181" si="82">D177+D178+D179-D180</f>
        <v>0</v>
      </c>
      <c r="E181" s="126">
        <f t="shared" si="82"/>
        <v>0</v>
      </c>
      <c r="F181" s="126">
        <f t="shared" si="82"/>
        <v>0</v>
      </c>
      <c r="G181" s="126">
        <f t="shared" si="82"/>
        <v>0</v>
      </c>
      <c r="H181" s="126">
        <f t="shared" si="82"/>
        <v>0</v>
      </c>
      <c r="I181" s="126">
        <f t="shared" si="82"/>
        <v>0</v>
      </c>
      <c r="J181" s="126">
        <f t="shared" si="82"/>
        <v>0</v>
      </c>
      <c r="K181" s="126">
        <f t="shared" si="82"/>
        <v>0</v>
      </c>
    </row>
    <row r="184" spans="1:11" ht="15.75" x14ac:dyDescent="0.25">
      <c r="A184" s="27" t="s">
        <v>526</v>
      </c>
    </row>
    <row r="185" spans="1:11" x14ac:dyDescent="0.2">
      <c r="A185" s="65" t="s">
        <v>175</v>
      </c>
    </row>
    <row r="186" spans="1:11" x14ac:dyDescent="0.2">
      <c r="A186" s="65" t="s">
        <v>173</v>
      </c>
    </row>
    <row r="187" spans="1:11" x14ac:dyDescent="0.2">
      <c r="A187" s="65" t="s">
        <v>174</v>
      </c>
    </row>
    <row r="188" spans="1:11" x14ac:dyDescent="0.2">
      <c r="A188" s="65" t="s">
        <v>324</v>
      </c>
    </row>
  </sheetData>
  <protectedRanges>
    <protectedRange sqref="C42:C45" name="Viability Scores without financials"/>
    <protectedRange sqref="C34:K34 C52:K52 C54:K54 C60:K61" name="End of year Actual or Forecast EFTS figure"/>
    <protectedRange sqref="C33:K33" name="Cash Advance Facility question"/>
    <protectedRange sqref="C32:K32 C47:K47" name="Financial year"/>
    <protectedRange sqref="C38:F38 C36:F36 I36:K36 I38:K38 C53:K53" name="Forecast or Actual EFTS_2"/>
    <protectedRange sqref="C37:F37 C35:F35 I35:K35 I37:K37" name="Plan EFTS_2"/>
    <protectedRange sqref="G36:H36" name="Forecast or Actual EFTS_1"/>
    <protectedRange sqref="G35:H35" name="Plan EFTS_1"/>
    <protectedRange sqref="G38:H38" name="Forecast or Actual EFTS_1_1"/>
    <protectedRange sqref="G37:H37" name="Plan EFTS_1_1"/>
  </protectedRanges>
  <phoneticPr fontId="21" type="noConversion"/>
  <conditionalFormatting sqref="C56:K59 C58:L58">
    <cfRule type="containsText" dxfId="5" priority="16" stopIfTrue="1" operator="containsText" text="OK">
      <formula>NOT(ISERROR(SEARCH("OK",C56)))</formula>
    </cfRule>
    <cfRule type="containsText" dxfId="4" priority="17" stopIfTrue="1" operator="containsText" text="Review">
      <formula>NOT(ISERROR(SEARCH("Review",C56)))</formula>
    </cfRule>
    <cfRule type="containsText" dxfId="3" priority="18" stopIfTrue="1" operator="containsText" text="N/A">
      <formula>NOT(ISERROR(SEARCH("N/A",C56)))</formula>
    </cfRule>
  </conditionalFormatting>
  <dataValidations xWindow="669" yWindow="475" count="14">
    <dataValidation type="list" allowBlank="1" showInputMessage="1" showErrorMessage="1" promptTitle="Cash Advance Facility" prompt="Does a Committed Cash Advance Facility with more than two years to run exist? (Yes/No)" sqref="C33:K33">
      <formula1>$A$186:$A$187</formula1>
    </dataValidation>
    <dataValidation type="decimal" allowBlank="1" showInputMessage="1" showErrorMessage="1" errorTitle="Number of EFTS" error="A number between 0 and 100,000 is required" promptTitle="Originally planned EFTS" prompt="Please enter the original plan for EFTS for this financial year" sqref="C35:K35">
      <formula1>0</formula1>
      <formula2>100000</formula2>
    </dataValidation>
    <dataValidation type="list" allowBlank="1" showInputMessage="1" showErrorMessage="1" promptTitle="Can EFTS Ratio be calculated" prompt="Does an end of year actual EFTS or forecasted EFTS figure exist (Yes/No)" sqref="C34:K34">
      <formula1>$A$186:$A$187</formula1>
    </dataValidation>
    <dataValidation type="whole" allowBlank="1" showInputMessage="1" showErrorMessage="1" errorTitle="Financial year of data" error="A year between 1996 and 2020 is required" promptTitle="Financial year" prompt="Please enter the financial year this data relates to" sqref="C32:K32">
      <formula1>1996</formula1>
      <formula2>2020</formula2>
    </dataValidation>
    <dataValidation type="decimal" allowBlank="1" showInputMessage="1" showErrorMessage="1" errorTitle="Average Viability Score" error="The Average Viability Score will be between -2 and 5" promptTitle="Average Viability score" prompt="Please enter the viability score calculated for this year" sqref="C42:C45">
      <formula1>-2</formula1>
      <formula2>5</formula2>
    </dataValidation>
    <dataValidation type="decimal" allowBlank="1" showInputMessage="1" showErrorMessage="1" errorTitle="Number of EFTS Achieved" error="A number between 0 and 100,000 is required" promptTitle="EFTS Achieved" prompt="Please enter the EFTS achieved for this financial year" sqref="C36:K36">
      <formula1>0</formula1>
      <formula2>100000</formula2>
    </dataValidation>
    <dataValidation allowBlank="1" showInputMessage="1" showErrorMessage="1" errorTitle="Number of EFTS Achieved" error="A number between 0 and 100,000 is required" sqref="C39:K41"/>
    <dataValidation type="decimal" allowBlank="1" showInputMessage="1" showErrorMessage="1" errorTitle="Number of EFTS Achieved" error="A number between 0 and $1b is required" promptTitle="SAC Delivery" prompt="Please enter the SAC calculated delivery for this financial year" sqref="C38:K38">
      <formula1>0</formula1>
      <formula2>1000000</formula2>
    </dataValidation>
    <dataValidation type="decimal" allowBlank="1" showInputMessage="1" showErrorMessage="1" errorTitle="Number of EFTS" error="A number between 0 and $1b is required" promptTitle="Funding Allocation" prompt="Please enter the SAC funding allocation for this financial year" sqref="C37:K37">
      <formula1>0</formula1>
      <formula2>1000000</formula2>
    </dataValidation>
    <dataValidation type="decimal" allowBlank="1" showInputMessage="1" showErrorMessage="1" errorTitle="Number of EFTS Achieved" error="A number between 0 and 100,000 is required" promptTitle="Undrawn credit facilities" prompt="Please enter the amount ($000) of undrawn credit facility sought to be included" sqref="C53:K53">
      <formula1>0</formula1>
      <formula2>100000</formula2>
    </dataValidation>
    <dataValidation type="list" allowBlank="1" showInputMessage="1" showErrorMessage="1" promptTitle="Undrawn credit facilities" prompt="Does the TEI seek to include undrawn facilities?_x000a_(Yes/No)" sqref="C52:K52">
      <formula1>$A$186:$A$187</formula1>
    </dataValidation>
    <dataValidation type="list" allowBlank="1" showInputMessage="1" showErrorMessage="1" promptTitle="Undrawn credit facilities" prompt="Has the TEI declared that the facilities meet the entry criteria?_x000a_(Yes/No)" sqref="C54:K54">
      <formula1>$A$186:$A$187</formula1>
    </dataValidation>
    <dataValidation type="whole" allowBlank="1" showInputMessage="1" showErrorMessage="1" errorTitle="Financial year of data" error="A year between 1996 and 2020 is required" promptTitle="Financial year" sqref="C47:K47">
      <formula1>1996</formula1>
      <formula2>2020</formula2>
    </dataValidation>
    <dataValidation type="list" allowBlank="1" showInputMessage="1" showErrorMessage="1" promptTitle="Undrawn credit facilities" prompt="Has the TEI declared that the facilities meet the entry criteria?_x000a_(Yes/No/TBC)" sqref="C60:K60">
      <formula1>$A$186:$A$188</formula1>
    </dataValidation>
  </dataValidations>
  <pageMargins left="0.74803149606299213" right="0.74803149606299213" top="0.62992125984251968" bottom="0.70866141732283472" header="0.51181102362204722" footer="0.51181102362204722"/>
  <pageSetup paperSize="8"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4"/>
  <sheetViews>
    <sheetView workbookViewId="0">
      <selection activeCell="B24" sqref="B24"/>
    </sheetView>
  </sheetViews>
  <sheetFormatPr defaultRowHeight="15" x14ac:dyDescent="0.2"/>
  <cols>
    <col min="2" max="2" width="8.77734375" customWidth="1"/>
  </cols>
  <sheetData>
    <row r="3" spans="1:4" x14ac:dyDescent="0.2">
      <c r="B3" s="81" t="s">
        <v>266</v>
      </c>
      <c r="C3" t="s">
        <v>267</v>
      </c>
    </row>
    <row r="4" spans="1:4" x14ac:dyDescent="0.2">
      <c r="A4">
        <v>2000</v>
      </c>
      <c r="B4" s="82" t="e">
        <f>HLOOKUP(A4,Calculations!$B$1:$L$150,ROW(Calculations!$A$124),FALSE)</f>
        <v>#N/A</v>
      </c>
      <c r="C4" s="72" t="e">
        <f>VLOOKUP(A4&amp;" Average Viability Score - required",Calculations!$A$42:$C$45,3,FALSE)</f>
        <v>#N/A</v>
      </c>
      <c r="D4" s="80" t="str">
        <f>IF(ISERROR(B4)=FALSE,B4,IF(ISERROR(C4)=TRUE,"N/a",C4))</f>
        <v>N/a</v>
      </c>
    </row>
    <row r="5" spans="1:4" x14ac:dyDescent="0.2">
      <c r="A5">
        <v>2001</v>
      </c>
      <c r="B5" s="82" t="e">
        <f>HLOOKUP(A5,Calculations!$B$1:$L$150,ROW(Calculations!$A$124),FALSE)</f>
        <v>#N/A</v>
      </c>
      <c r="C5" s="72" t="e">
        <f>VLOOKUP(A5&amp;" Average Viability Score - required",Calculations!$A$42:$C$45,3,FALSE)</f>
        <v>#N/A</v>
      </c>
      <c r="D5" s="80" t="str">
        <f>IF(ISERROR(B5)=FALSE,B5,IF(ISERROR(C5)=TRUE,"N/a",C5))</f>
        <v>N/a</v>
      </c>
    </row>
    <row r="6" spans="1:4" x14ac:dyDescent="0.2">
      <c r="A6">
        <v>2002</v>
      </c>
      <c r="B6" s="82" t="e">
        <f>HLOOKUP(A6,Calculations!$B$1:$L$150,ROW(Calculations!$A$124),FALSE)</f>
        <v>#N/A</v>
      </c>
      <c r="C6" s="72" t="e">
        <f>VLOOKUP(A6&amp;" Average Viability Score - required",Calculations!$A$42:$C$45,3,FALSE)</f>
        <v>#N/A</v>
      </c>
      <c r="D6" s="80" t="str">
        <f t="shared" ref="D6:D24" si="0">IF(ISERROR(B6)=FALSE,B6,IF(ISERROR(C6)=TRUE,"N/a",C6))</f>
        <v>N/a</v>
      </c>
    </row>
    <row r="7" spans="1:4" x14ac:dyDescent="0.2">
      <c r="A7">
        <v>2003</v>
      </c>
      <c r="B7" s="82" t="e">
        <f>HLOOKUP(A7,Calculations!$B$1:$L$150,ROW(Calculations!$A$124),FALSE)</f>
        <v>#N/A</v>
      </c>
      <c r="C7" s="72" t="e">
        <f>VLOOKUP(A7&amp;" Average Viability Score - required",Calculations!$A$42:$C$45,3,FALSE)</f>
        <v>#N/A</v>
      </c>
      <c r="D7" s="80" t="str">
        <f t="shared" si="0"/>
        <v>N/a</v>
      </c>
    </row>
    <row r="8" spans="1:4" x14ac:dyDescent="0.2">
      <c r="A8">
        <v>2004</v>
      </c>
      <c r="B8" s="82" t="e">
        <f>HLOOKUP(A8,Calculations!$B$1:$L$150,ROW(Calculations!$A$124),FALSE)</f>
        <v>#N/A</v>
      </c>
      <c r="C8" s="72" t="e">
        <f>VLOOKUP(A8&amp;" Average Viability Score - required",Calculations!$A$42:$C$45,3,FALSE)</f>
        <v>#N/A</v>
      </c>
      <c r="D8" s="80" t="str">
        <f>IF(ISERROR(B8)=FALSE,B8,IF(ISERROR(C8)=TRUE,"N/a",C8))</f>
        <v>N/a</v>
      </c>
    </row>
    <row r="9" spans="1:4" x14ac:dyDescent="0.2">
      <c r="A9">
        <v>2005</v>
      </c>
      <c r="B9" s="82" t="e">
        <f>HLOOKUP(A9,Calculations!$B$1:$L$150,ROW(Calculations!$A$124),FALSE)</f>
        <v>#N/A</v>
      </c>
      <c r="C9" s="72" t="e">
        <f>VLOOKUP(A9&amp;" Average Viability Score - required",Calculations!$A$42:$C$45,3,FALSE)</f>
        <v>#N/A</v>
      </c>
      <c r="D9" s="80" t="str">
        <f t="shared" si="0"/>
        <v>N/a</v>
      </c>
    </row>
    <row r="10" spans="1:4" x14ac:dyDescent="0.2">
      <c r="A10">
        <v>2006</v>
      </c>
      <c r="B10" s="82">
        <f>HLOOKUP(A10,Calculations!$B$1:$L$150,ROW(Calculations!$A$124),FALSE)</f>
        <v>1.5</v>
      </c>
      <c r="C10" s="72" t="e">
        <f>VLOOKUP(A10&amp;" Average Viability Score - required",Calculations!$A$42:$C$45,3,FALSE)</f>
        <v>#N/A</v>
      </c>
      <c r="D10" s="80">
        <f t="shared" si="0"/>
        <v>1.5</v>
      </c>
    </row>
    <row r="11" spans="1:4" x14ac:dyDescent="0.2">
      <c r="A11">
        <v>2007</v>
      </c>
      <c r="B11" s="82">
        <f>HLOOKUP(A11,Calculations!$B$1:$L$150,ROW(Calculations!$A$124),FALSE)</f>
        <v>0.66666666666666663</v>
      </c>
      <c r="C11" s="72" t="e">
        <f>VLOOKUP(A11&amp;" Average Viability Score - required",Calculations!$A$42:$C$45,3,FALSE)</f>
        <v>#N/A</v>
      </c>
      <c r="D11" s="80">
        <f t="shared" si="0"/>
        <v>0.66666666666666663</v>
      </c>
    </row>
    <row r="12" spans="1:4" x14ac:dyDescent="0.2">
      <c r="A12">
        <v>2008</v>
      </c>
      <c r="B12" s="82">
        <f>HLOOKUP(A12,Calculations!$B$1:$L$150,ROW(Calculations!$A$124),FALSE)</f>
        <v>0.25</v>
      </c>
      <c r="C12" s="72" t="e">
        <f>VLOOKUP(A12&amp;" Average Viability Score - required",Calculations!$A$42:$C$45,3,FALSE)</f>
        <v>#N/A</v>
      </c>
      <c r="D12" s="80">
        <f t="shared" si="0"/>
        <v>0.25</v>
      </c>
    </row>
    <row r="13" spans="1:4" x14ac:dyDescent="0.2">
      <c r="A13">
        <v>2009</v>
      </c>
      <c r="B13" s="82">
        <f>HLOOKUP(A13,Calculations!$B$1:$L$150,ROW(Calculations!$A$124),FALSE)</f>
        <v>1.8333333333333333</v>
      </c>
      <c r="C13" s="72" t="e">
        <f>VLOOKUP(A13&amp;" Average Viability Score - required",Calculations!$A$42:$C$45,3,FALSE)</f>
        <v>#N/A</v>
      </c>
      <c r="D13" s="80">
        <f t="shared" si="0"/>
        <v>1.8333333333333333</v>
      </c>
    </row>
    <row r="14" spans="1:4" x14ac:dyDescent="0.2">
      <c r="A14">
        <v>2010</v>
      </c>
      <c r="B14" s="82">
        <f>HLOOKUP(A14,Calculations!$B$1:$L$150,ROW(Calculations!$A$124),FALSE)</f>
        <v>2.25</v>
      </c>
      <c r="C14" s="72" t="e">
        <f>VLOOKUP(A14&amp;" Average Viability Score - required",Calculations!$A$42:$C$45,3,FALSE)</f>
        <v>#N/A</v>
      </c>
      <c r="D14" s="80">
        <f t="shared" si="0"/>
        <v>2.25</v>
      </c>
    </row>
    <row r="15" spans="1:4" x14ac:dyDescent="0.2">
      <c r="A15">
        <v>2011</v>
      </c>
      <c r="B15" s="82">
        <f>HLOOKUP(A15,Calculations!$B$1:$L$150,ROW(Calculations!$A$124),FALSE)</f>
        <v>4</v>
      </c>
      <c r="C15" s="72" t="e">
        <f>VLOOKUP(A15&amp;" Average Viability Score - required",Calculations!$A$42:$C$45,3,FALSE)</f>
        <v>#N/A</v>
      </c>
      <c r="D15" s="80">
        <f t="shared" si="0"/>
        <v>4</v>
      </c>
    </row>
    <row r="16" spans="1:4" x14ac:dyDescent="0.2">
      <c r="A16">
        <v>2012</v>
      </c>
      <c r="B16" s="82">
        <f>HLOOKUP(A16,Calculations!$B$1:$L$150,ROW(Calculations!$A$124),FALSE)</f>
        <v>3.8333333333333335</v>
      </c>
      <c r="C16" s="72" t="e">
        <f>VLOOKUP(A16&amp;" Average Viability Score - required",Calculations!$A$42:$C$45,3,FALSE)</f>
        <v>#N/A</v>
      </c>
      <c r="D16" s="80">
        <f t="shared" si="0"/>
        <v>3.8333333333333335</v>
      </c>
    </row>
    <row r="17" spans="1:4" x14ac:dyDescent="0.2">
      <c r="A17">
        <v>2013</v>
      </c>
      <c r="B17" s="82">
        <f>HLOOKUP(A17,Calculations!$B$1:$L$150,ROW(Calculations!$A$124),FALSE)</f>
        <v>4.333333333333333</v>
      </c>
      <c r="C17" s="72" t="e">
        <f>VLOOKUP(A17&amp;" Average Viability Score - required",Calculations!$A$42:$C$45,3,FALSE)</f>
        <v>#N/A</v>
      </c>
      <c r="D17" s="80">
        <f t="shared" si="0"/>
        <v>4.333333333333333</v>
      </c>
    </row>
    <row r="18" spans="1:4" x14ac:dyDescent="0.2">
      <c r="A18">
        <v>2014</v>
      </c>
      <c r="B18" s="82">
        <f>HLOOKUP(A18,Calculations!$B$1:$L$150,ROW(Calculations!$A$124),FALSE)</f>
        <v>3.1666666666666665</v>
      </c>
      <c r="C18" s="72" t="e">
        <f>VLOOKUP(A18&amp;" Average Viability Score - required",Calculations!$A$42:$C$45,3,FALSE)</f>
        <v>#N/A</v>
      </c>
      <c r="D18" s="80">
        <f t="shared" si="0"/>
        <v>3.1666666666666665</v>
      </c>
    </row>
    <row r="19" spans="1:4" x14ac:dyDescent="0.2">
      <c r="A19">
        <v>2015</v>
      </c>
      <c r="B19" s="82" t="e">
        <f>HLOOKUP(A19,Calculations!$B$1:$L$150,ROW(Calculations!$A$124),FALSE)</f>
        <v>#N/A</v>
      </c>
      <c r="C19" s="72" t="e">
        <f>VLOOKUP(A19&amp;" Average Viability Score - required",Calculations!$A$42:$C$45,3,FALSE)</f>
        <v>#N/A</v>
      </c>
      <c r="D19" s="80" t="str">
        <f t="shared" si="0"/>
        <v>N/a</v>
      </c>
    </row>
    <row r="20" spans="1:4" x14ac:dyDescent="0.2">
      <c r="A20">
        <v>2016</v>
      </c>
      <c r="B20" s="82" t="e">
        <f>HLOOKUP(A20,Calculations!$B$1:$L$150,ROW(Calculations!$A$124),FALSE)</f>
        <v>#N/A</v>
      </c>
      <c r="C20" s="72" t="e">
        <f>VLOOKUP(A20&amp;" Average Viability Score - required",Calculations!$A$42:$C$45,3,FALSE)</f>
        <v>#N/A</v>
      </c>
      <c r="D20" s="80" t="str">
        <f t="shared" si="0"/>
        <v>N/a</v>
      </c>
    </row>
    <row r="21" spans="1:4" x14ac:dyDescent="0.2">
      <c r="A21">
        <v>2017</v>
      </c>
      <c r="B21" s="82" t="e">
        <f>HLOOKUP(A21,Calculations!$B$1:$L$150,ROW(Calculations!$A$124),FALSE)</f>
        <v>#N/A</v>
      </c>
      <c r="C21" s="72" t="e">
        <f>VLOOKUP(A21&amp;" Average Viability Score - required",Calculations!$A$42:$C$45,3,FALSE)</f>
        <v>#N/A</v>
      </c>
      <c r="D21" s="80" t="str">
        <f t="shared" si="0"/>
        <v>N/a</v>
      </c>
    </row>
    <row r="22" spans="1:4" x14ac:dyDescent="0.2">
      <c r="A22">
        <v>2018</v>
      </c>
      <c r="B22" s="82" t="e">
        <f>HLOOKUP(A22,Calculations!$B$1:$L$150,ROW(Calculations!$A$124),FALSE)</f>
        <v>#N/A</v>
      </c>
      <c r="C22" s="72" t="e">
        <f>VLOOKUP(A22&amp;" Average Viability Score - required",Calculations!$A$42:$C$45,3,FALSE)</f>
        <v>#N/A</v>
      </c>
      <c r="D22" s="80" t="str">
        <f t="shared" si="0"/>
        <v>N/a</v>
      </c>
    </row>
    <row r="23" spans="1:4" x14ac:dyDescent="0.2">
      <c r="A23">
        <v>2019</v>
      </c>
      <c r="B23" s="82" t="e">
        <f>HLOOKUP(A23,Calculations!$B$1:$L$150,ROW(Calculations!$A$124),FALSE)</f>
        <v>#N/A</v>
      </c>
      <c r="C23" s="72" t="e">
        <f>VLOOKUP(A23&amp;" Average Viability Score - required",Calculations!$A$42:$C$45,3,FALSE)</f>
        <v>#N/A</v>
      </c>
      <c r="D23" s="80" t="str">
        <f t="shared" si="0"/>
        <v>N/a</v>
      </c>
    </row>
    <row r="24" spans="1:4" x14ac:dyDescent="0.2">
      <c r="A24">
        <v>2020</v>
      </c>
      <c r="B24" s="82" t="e">
        <f>HLOOKUP(A24,Calculations!$B$1:$L$150,ROW(Calculations!$A$124),FALSE)</f>
        <v>#N/A</v>
      </c>
      <c r="C24" s="72" t="e">
        <f>VLOOKUP(A24&amp;" Average Viability Score - required",Calculations!$A$42:$C$45,3,FALSE)</f>
        <v>#N/A</v>
      </c>
      <c r="D24" s="80" t="str">
        <f t="shared" si="0"/>
        <v>N/a</v>
      </c>
    </row>
  </sheetData>
  <phoneticPr fontId="2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53"/>
  <sheetViews>
    <sheetView showGridLines="0" topLeftCell="B32" zoomScaleNormal="100" workbookViewId="0">
      <selection activeCell="G59" sqref="G59"/>
    </sheetView>
  </sheetViews>
  <sheetFormatPr defaultRowHeight="15" x14ac:dyDescent="0.2"/>
  <cols>
    <col min="1" max="1" width="1.77734375" customWidth="1"/>
    <col min="2" max="2" width="3.77734375" customWidth="1"/>
    <col min="3" max="3" width="13.77734375" customWidth="1"/>
    <col min="4" max="4" width="8.88671875" customWidth="1"/>
    <col min="6" max="6" width="8.88671875" customWidth="1"/>
    <col min="14" max="14" width="1.77734375" customWidth="1"/>
    <col min="17" max="17" width="24.33203125" customWidth="1"/>
    <col min="18" max="18" width="3.21875" customWidth="1"/>
  </cols>
  <sheetData>
    <row r="1" spans="2:29" ht="9.9499999999999993" customHeight="1" x14ac:dyDescent="0.2"/>
    <row r="2" spans="2:29" ht="18" x14ac:dyDescent="0.25">
      <c r="B2" s="227" t="s">
        <v>291</v>
      </c>
      <c r="C2" s="228"/>
      <c r="D2" s="228"/>
      <c r="E2" s="229"/>
      <c r="F2" s="229"/>
      <c r="G2" s="229"/>
      <c r="H2" s="229"/>
      <c r="I2" s="229"/>
      <c r="J2" s="229"/>
      <c r="K2" s="229"/>
      <c r="L2" s="229"/>
      <c r="M2" s="102"/>
      <c r="N2" s="230"/>
      <c r="O2" s="100"/>
    </row>
    <row r="3" spans="2:29" x14ac:dyDescent="0.2">
      <c r="B3" s="216"/>
      <c r="C3" s="1"/>
      <c r="D3" s="1"/>
      <c r="E3" s="1"/>
      <c r="F3" s="1"/>
      <c r="G3" s="1"/>
      <c r="H3" s="1"/>
      <c r="I3" s="1"/>
      <c r="J3" s="1"/>
      <c r="K3" s="1"/>
      <c r="L3" s="1"/>
      <c r="N3" s="231"/>
      <c r="O3" s="100"/>
    </row>
    <row r="4" spans="2:29" x14ac:dyDescent="0.2">
      <c r="B4" s="216" t="s">
        <v>320</v>
      </c>
      <c r="C4" s="1"/>
      <c r="D4" s="1"/>
      <c r="E4" s="371" t="s">
        <v>483</v>
      </c>
      <c r="F4" s="372"/>
      <c r="G4" s="372"/>
      <c r="H4" s="373"/>
      <c r="I4" s="1"/>
      <c r="J4" s="1"/>
      <c r="K4" s="1"/>
      <c r="L4" s="1"/>
      <c r="N4" s="231"/>
      <c r="O4" s="100"/>
    </row>
    <row r="5" spans="2:29" x14ac:dyDescent="0.2">
      <c r="B5" s="216"/>
      <c r="C5" s="1"/>
      <c r="D5" s="1"/>
      <c r="E5" s="1"/>
      <c r="F5" s="1"/>
      <c r="G5" s="1"/>
      <c r="H5" s="1"/>
      <c r="I5" s="1"/>
      <c r="J5" s="1"/>
      <c r="K5" s="1" t="s">
        <v>319</v>
      </c>
      <c r="L5" s="1"/>
      <c r="M5" s="101">
        <v>40930</v>
      </c>
      <c r="N5" s="231"/>
      <c r="O5" s="100"/>
      <c r="Z5" t="s">
        <v>256</v>
      </c>
      <c r="AA5" s="82">
        <f>90-DEGREES(ATAN((U9-T9)/(U7-T7)))</f>
        <v>45.438374962714754</v>
      </c>
      <c r="AB5" s="72">
        <f>V7</f>
        <v>3.0975000000000001</v>
      </c>
      <c r="AC5" s="80">
        <f>X7+AA9</f>
        <v>3.0431003691831102</v>
      </c>
    </row>
    <row r="6" spans="2:29" x14ac:dyDescent="0.2">
      <c r="B6" s="216" t="s">
        <v>441</v>
      </c>
      <c r="C6" s="1"/>
      <c r="D6" s="1"/>
      <c r="E6" s="180">
        <v>2010</v>
      </c>
      <c r="F6" s="1"/>
      <c r="G6" s="181" t="s">
        <v>279</v>
      </c>
      <c r="H6" s="1"/>
      <c r="I6" s="1"/>
      <c r="J6" s="1"/>
      <c r="K6" s="1"/>
      <c r="L6" s="1"/>
      <c r="N6" s="231"/>
      <c r="O6" s="100"/>
      <c r="T6" s="65" t="s">
        <v>440</v>
      </c>
      <c r="U6" s="65" t="s">
        <v>243</v>
      </c>
      <c r="V6" s="65" t="s">
        <v>253</v>
      </c>
      <c r="W6" s="79" t="s">
        <v>257</v>
      </c>
      <c r="X6" s="79" t="s">
        <v>258</v>
      </c>
      <c r="Z6" t="s">
        <v>261</v>
      </c>
      <c r="AA6" s="82">
        <f>((U7-T7)^2+(U9-T9)^2)^0.5</f>
        <v>2.3789601666742497</v>
      </c>
      <c r="AB6" s="72">
        <f>V9</f>
        <v>2.9087037037037038</v>
      </c>
      <c r="AC6" s="80">
        <f>X9-AA10</f>
        <v>2.6076524052631398</v>
      </c>
    </row>
    <row r="7" spans="2:29" x14ac:dyDescent="0.2">
      <c r="B7" s="216" t="s">
        <v>442</v>
      </c>
      <c r="C7" s="1"/>
      <c r="D7" s="1"/>
      <c r="E7" s="180">
        <v>2010</v>
      </c>
      <c r="F7" s="1"/>
      <c r="G7" s="181" t="s">
        <v>279</v>
      </c>
      <c r="H7" s="1"/>
      <c r="I7" s="359" t="s">
        <v>409</v>
      </c>
      <c r="K7" s="359" t="s">
        <v>410</v>
      </c>
      <c r="L7" s="1"/>
      <c r="N7" s="231"/>
      <c r="O7" s="100"/>
      <c r="S7" s="78" t="s">
        <v>251</v>
      </c>
      <c r="T7" s="86">
        <f>L31</f>
        <v>2.25</v>
      </c>
      <c r="U7" s="86">
        <f>M31</f>
        <v>3.9450000000000003</v>
      </c>
      <c r="V7" s="72">
        <f>(T7+U7)/2</f>
        <v>3.0975000000000001</v>
      </c>
      <c r="W7" s="80">
        <f>X7-AA9</f>
        <v>2.7956515473591526</v>
      </c>
      <c r="X7" s="72">
        <f>IF($AA$6&gt;0.4,-(0.25/$AA$6)*(U7-T7)+V7,T7)</f>
        <v>2.9193759582711314</v>
      </c>
      <c r="Z7" t="s">
        <v>262</v>
      </c>
      <c r="AA7" s="83">
        <f>((V7-X7)^2+(V9-X9)^2)^0.5</f>
        <v>0.25000000000000028</v>
      </c>
    </row>
    <row r="8" spans="2:29" ht="7.5" customHeight="1" x14ac:dyDescent="0.2">
      <c r="B8" s="216"/>
      <c r="C8" s="1"/>
      <c r="D8" s="1"/>
      <c r="E8" s="1"/>
      <c r="F8" s="1"/>
      <c r="G8" s="1"/>
      <c r="H8" s="1"/>
      <c r="I8" s="360"/>
      <c r="K8" s="360"/>
      <c r="L8" s="1"/>
      <c r="N8" s="231"/>
      <c r="O8" s="100"/>
      <c r="S8" s="78"/>
      <c r="T8" s="86"/>
      <c r="U8" s="86"/>
      <c r="V8" s="72"/>
      <c r="W8" s="80"/>
      <c r="X8" s="72"/>
      <c r="AA8" s="83"/>
    </row>
    <row r="9" spans="2:29" x14ac:dyDescent="0.2">
      <c r="B9" s="216" t="s">
        <v>240</v>
      </c>
      <c r="C9" s="1"/>
      <c r="D9" s="1"/>
      <c r="E9" s="180">
        <v>2011</v>
      </c>
      <c r="F9" s="281" t="s">
        <v>449</v>
      </c>
      <c r="G9" s="181" t="s">
        <v>290</v>
      </c>
      <c r="H9" s="182"/>
      <c r="I9" s="183" t="s">
        <v>289</v>
      </c>
      <c r="J9" s="1"/>
      <c r="K9" s="171">
        <v>40922</v>
      </c>
      <c r="L9" s="1"/>
      <c r="N9" s="231"/>
      <c r="O9" s="100"/>
      <c r="S9" s="78" t="s">
        <v>252</v>
      </c>
      <c r="T9" s="86">
        <f>L40</f>
        <v>2.074074074074074</v>
      </c>
      <c r="U9" s="86">
        <f>M40</f>
        <v>3.7433333333333336</v>
      </c>
      <c r="V9" s="72">
        <f>(T9+U9)/2</f>
        <v>2.9087037037037038</v>
      </c>
      <c r="W9" s="80">
        <f>X9+AA10</f>
        <v>2.8589170010202598</v>
      </c>
      <c r="X9" s="72">
        <f>IF($AA$6&gt;0.4,-(0.25/$AA$6)*(U9-T9)+V9,T9)</f>
        <v>2.7332847031416998</v>
      </c>
      <c r="Z9" t="s">
        <v>260</v>
      </c>
      <c r="AA9" s="84">
        <f>IF(U10="vertical",IF(T9&gt;U9,0.176,-0.176),COS(RADIANS(AA5))*TAN(RADIANS(40)*AA7))</f>
        <v>0.12372441091197875</v>
      </c>
    </row>
    <row r="10" spans="2:29" x14ac:dyDescent="0.2">
      <c r="B10" s="216" t="s">
        <v>241</v>
      </c>
      <c r="C10" s="1"/>
      <c r="D10" s="1"/>
      <c r="E10" s="180">
        <v>2013</v>
      </c>
      <c r="F10" s="281" t="s">
        <v>450</v>
      </c>
      <c r="G10" s="181" t="s">
        <v>282</v>
      </c>
      <c r="H10" s="1"/>
      <c r="I10" s="183" t="s">
        <v>411</v>
      </c>
      <c r="J10" s="1"/>
      <c r="K10" s="171">
        <v>40922</v>
      </c>
      <c r="L10" s="1"/>
      <c r="N10" s="231"/>
      <c r="O10" s="100"/>
      <c r="T10" t="s">
        <v>254</v>
      </c>
      <c r="U10" s="65">
        <f>IF(U7=T7,"Vertical",IF(U9=T9,"Horizontal",IF(U9&gt;T9,IF(U7&gt;T7,1,4),IF(U7&gt;T7,2,3))))</f>
        <v>1</v>
      </c>
      <c r="V10" s="65" t="s">
        <v>253</v>
      </c>
      <c r="W10" s="79" t="s">
        <v>297</v>
      </c>
      <c r="Z10" s="85" t="s">
        <v>259</v>
      </c>
      <c r="AA10" s="80">
        <f>IF(U10="Vertical",0,SIN(RADIANS(AA5))*TAN(RADIANS(40)*AA7))</f>
        <v>0.12563229787856017</v>
      </c>
      <c r="AB10" t="s">
        <v>255</v>
      </c>
      <c r="AC10" s="65" t="s">
        <v>298</v>
      </c>
    </row>
    <row r="11" spans="2:29" x14ac:dyDescent="0.2">
      <c r="B11" s="216"/>
      <c r="C11" s="1"/>
      <c r="D11" s="1"/>
      <c r="E11" s="1"/>
      <c r="F11" s="1"/>
      <c r="G11" s="137"/>
      <c r="H11" s="182"/>
      <c r="I11" s="137"/>
      <c r="J11" s="1"/>
      <c r="K11" s="1"/>
      <c r="L11" s="1"/>
      <c r="N11" s="231"/>
      <c r="O11" s="100"/>
    </row>
    <row r="12" spans="2:29" ht="12.6" customHeight="1" thickBot="1" x14ac:dyDescent="0.25">
      <c r="B12" s="216"/>
      <c r="C12" s="1"/>
      <c r="D12" s="1"/>
      <c r="E12" s="1"/>
      <c r="F12" s="1"/>
      <c r="G12" s="1"/>
      <c r="H12" s="1"/>
      <c r="I12" s="1"/>
      <c r="J12" s="1"/>
      <c r="K12" s="1"/>
      <c r="L12" s="1"/>
      <c r="N12" s="231"/>
      <c r="O12" s="100"/>
      <c r="W12" s="65"/>
      <c r="X12" s="65"/>
    </row>
    <row r="13" spans="2:29" ht="15.75" hidden="1" customHeight="1" x14ac:dyDescent="0.2">
      <c r="B13" s="184" t="s">
        <v>283</v>
      </c>
      <c r="C13" s="185"/>
      <c r="D13" s="186" t="s">
        <v>242</v>
      </c>
      <c r="E13" s="187" t="s">
        <v>243</v>
      </c>
      <c r="F13" s="188">
        <f>E6</f>
        <v>2010</v>
      </c>
      <c r="G13" s="188">
        <f>F13+1</f>
        <v>2011</v>
      </c>
      <c r="H13" s="188">
        <f>G13+1</f>
        <v>2012</v>
      </c>
      <c r="I13" s="188">
        <f>E10</f>
        <v>2013</v>
      </c>
      <c r="N13" s="231"/>
      <c r="O13" s="100"/>
      <c r="W13" s="65"/>
      <c r="X13" s="65"/>
    </row>
    <row r="14" spans="2:29" ht="15.75" hidden="1" thickBot="1" x14ac:dyDescent="0.25">
      <c r="B14" s="184" t="s">
        <v>328</v>
      </c>
      <c r="C14" s="185"/>
      <c r="D14" s="188">
        <f>E14-1</f>
        <v>2008</v>
      </c>
      <c r="E14" s="188">
        <f>F14-1</f>
        <v>2009</v>
      </c>
      <c r="F14" s="188">
        <f>G14-1</f>
        <v>2010</v>
      </c>
      <c r="G14" s="188">
        <f>H14-1</f>
        <v>2011</v>
      </c>
      <c r="H14" s="188">
        <f>I14-1</f>
        <v>2012</v>
      </c>
      <c r="I14" s="189">
        <f>E10</f>
        <v>2013</v>
      </c>
      <c r="N14" s="231"/>
      <c r="O14" s="100"/>
      <c r="W14" s="65"/>
      <c r="X14" s="65"/>
    </row>
    <row r="15" spans="2:29" ht="18" customHeight="1" x14ac:dyDescent="0.2">
      <c r="B15" s="242" t="s">
        <v>417</v>
      </c>
      <c r="C15" s="243"/>
      <c r="D15" s="241" t="str">
        <f t="shared" ref="D15:I15" si="0">IF(D14&gt;$E$9,D14&amp;" P",IF(D14&lt;$E$6,D14&amp;" A",D14&amp;" "&amp;MID(VLOOKUP(D14,$E$6:$G$10,3,TRUE),1,1)))</f>
        <v>2008 A</v>
      </c>
      <c r="E15" s="241" t="str">
        <f t="shared" si="0"/>
        <v>2009 A</v>
      </c>
      <c r="F15" s="241" t="str">
        <f t="shared" si="0"/>
        <v>2010 A</v>
      </c>
      <c r="G15" s="241" t="str">
        <f t="shared" si="0"/>
        <v>2011 B</v>
      </c>
      <c r="H15" s="241" t="str">
        <f t="shared" si="0"/>
        <v>2012 P</v>
      </c>
      <c r="I15" s="241" t="str">
        <f t="shared" si="0"/>
        <v>2013 P</v>
      </c>
      <c r="N15" s="231"/>
      <c r="O15" s="100"/>
      <c r="T15" s="104" t="s">
        <v>279</v>
      </c>
      <c r="W15" s="104" t="s">
        <v>322</v>
      </c>
      <c r="X15" s="72"/>
    </row>
    <row r="16" spans="2:29" ht="15.6" customHeight="1" x14ac:dyDescent="0.2">
      <c r="B16" s="192" t="s">
        <v>316</v>
      </c>
      <c r="C16" s="193"/>
      <c r="D16" s="205">
        <f>HLOOKUP(D$14,Calculations!$A$171:$L$180,ROW(Calculations!$A$172)-ROW(Calculations!$A$171)+1,FALSE)</f>
        <v>95.46</v>
      </c>
      <c r="E16" s="205">
        <f>HLOOKUP(E$14,Calculations!$A$171:$L$180,ROW(Calculations!$A$172)-ROW(Calculations!$A$171)+1,FALSE)</f>
        <v>98.222999999999999</v>
      </c>
      <c r="F16" s="205">
        <f>HLOOKUP(F$14,Calculations!$A$171:$L$180,ROW(Calculations!$A$172)-ROW(Calculations!$A$171)+1,FALSE)</f>
        <v>107.441</v>
      </c>
      <c r="G16" s="205">
        <f>HLOOKUP(G$14,Calculations!$A$171:$L$180,ROW(Calculations!$A$172)-ROW(Calculations!$A$171)+1,FALSE)</f>
        <v>109.41053500000004</v>
      </c>
      <c r="H16" s="205">
        <f>HLOOKUP(H$14,Calculations!$A$171:$L$180,ROW(Calculations!$A$172)-ROW(Calculations!$A$171)+1,FALSE)</f>
        <v>112.04358992075176</v>
      </c>
      <c r="I16" s="205">
        <f>HLOOKUP(I$14,Calculations!$A$171:$L$180,ROW(Calculations!$A$172)-ROW(Calculations!$A$171)+1,FALSE)</f>
        <v>106.90380783292346</v>
      </c>
      <c r="J16" t="s">
        <v>454</v>
      </c>
      <c r="N16" s="231"/>
      <c r="O16" s="100"/>
      <c r="T16" s="106" t="s">
        <v>290</v>
      </c>
      <c r="W16" s="128" t="s">
        <v>323</v>
      </c>
      <c r="X16" s="72"/>
    </row>
    <row r="17" spans="2:30" ht="15.6" customHeight="1" x14ac:dyDescent="0.2">
      <c r="B17" s="192" t="s">
        <v>317</v>
      </c>
      <c r="C17" s="193"/>
      <c r="D17" s="205">
        <f>HLOOKUP(D$14,Calculations!$A$171:$L$180,ROW(Calculations!$A$173)-ROW(Calculations!$A$171)+1,FALSE)</f>
        <v>98.126000000000005</v>
      </c>
      <c r="E17" s="205">
        <f>HLOOKUP(E$14,Calculations!$A$171:$L$180,ROW(Calculations!$A$173)-ROW(Calculations!$A$171)+1,FALSE)</f>
        <v>99.085999999999999</v>
      </c>
      <c r="F17" s="205">
        <f>HLOOKUP(F$14,Calculations!$A$171:$L$180,ROW(Calculations!$A$173)-ROW(Calculations!$A$171)+1,FALSE)</f>
        <v>107.066</v>
      </c>
      <c r="G17" s="205">
        <f>HLOOKUP(G$14,Calculations!$A$171:$L$180,ROW(Calculations!$A$173)-ROW(Calculations!$A$171)+1,FALSE)</f>
        <v>107.0298647731054</v>
      </c>
      <c r="H17" s="205">
        <f>HLOOKUP(H$14,Calculations!$A$171:$L$180,ROW(Calculations!$A$173)-ROW(Calculations!$A$171)+1,FALSE)</f>
        <v>107.328926970475</v>
      </c>
      <c r="I17" s="205">
        <f>HLOOKUP(I$14,Calculations!$A$171:$L$180,ROW(Calculations!$A$173)-ROW(Calculations!$A$171)+1,FALSE)</f>
        <v>103.12135330394042</v>
      </c>
      <c r="N17" s="231"/>
      <c r="O17" s="100"/>
      <c r="T17" s="106" t="s">
        <v>282</v>
      </c>
      <c r="W17" s="106" t="s">
        <v>289</v>
      </c>
      <c r="X17" s="72"/>
    </row>
    <row r="18" spans="2:30" ht="15.6" customHeight="1" x14ac:dyDescent="0.2">
      <c r="B18" s="192" t="s">
        <v>318</v>
      </c>
      <c r="C18" s="193"/>
      <c r="D18" s="205">
        <f>HLOOKUP(D$14,Calculations!$A$171:$L$180,ROW(Calculations!$A$174)-ROW(Calculations!$A$171)+1,FALSE)</f>
        <v>-2.6659999999999999</v>
      </c>
      <c r="E18" s="205">
        <f>HLOOKUP(E$14,Calculations!$A$171:$L$180,ROW(Calculations!$A$174)-ROW(Calculations!$A$171)+1,FALSE)</f>
        <v>-0.86299999999999999</v>
      </c>
      <c r="F18" s="205">
        <f>HLOOKUP(F$14,Calculations!$A$171:$L$180,ROW(Calculations!$A$174)-ROW(Calculations!$A$171)+1,FALSE)</f>
        <v>0.375</v>
      </c>
      <c r="G18" s="205">
        <f>HLOOKUP(G$14,Calculations!$A$171:$L$180,ROW(Calculations!$A$174)-ROW(Calculations!$A$171)+1,FALSE)</f>
        <v>2.3806702268946247</v>
      </c>
      <c r="H18" s="205">
        <f>HLOOKUP(H$14,Calculations!$A$171:$L$180,ROW(Calculations!$A$174)-ROW(Calculations!$A$171)+1,FALSE)</f>
        <v>4.714662950276761</v>
      </c>
      <c r="I18" s="205">
        <f>HLOOKUP(I$14,Calculations!$A$171:$L$180,ROW(Calculations!$A$174)-ROW(Calculations!$A$171)+1,FALSE)</f>
        <v>3.7824545289830276</v>
      </c>
      <c r="K18" s="170" t="s">
        <v>327</v>
      </c>
      <c r="N18" s="231"/>
      <c r="O18" s="100"/>
      <c r="T18" s="106" t="s">
        <v>408</v>
      </c>
      <c r="W18" s="106" t="s">
        <v>296</v>
      </c>
      <c r="X18" s="72"/>
    </row>
    <row r="19" spans="2:30" ht="15.6" customHeight="1" thickBot="1" x14ac:dyDescent="0.25">
      <c r="B19" s="192" t="s">
        <v>321</v>
      </c>
      <c r="C19" s="193"/>
      <c r="D19" s="206">
        <f>HLOOKUP(D$14,Calculations!$A$171:$L$180,ROW(Calculations!$A$177)-ROW(Calculations!$A$171)+1,FALSE)</f>
        <v>7928</v>
      </c>
      <c r="E19" s="206">
        <f>HLOOKUP(E$14,Calculations!$A$171:$L$180,ROW(Calculations!$A$177)-ROW(Calculations!$A$171)+1,FALSE)</f>
        <v>7568</v>
      </c>
      <c r="F19" s="206">
        <f>HLOOKUP(F$14,Calculations!$A$171:$L$180,ROW(Calculations!$A$177)-ROW(Calculations!$A$171)+1,FALSE)</f>
        <v>7688</v>
      </c>
      <c r="G19" s="206">
        <f>HLOOKUP(G$14,Calculations!$A$171:$L$180,ROW(Calculations!$A$177)-ROW(Calculations!$A$171)+1,FALSE)</f>
        <v>7608.5</v>
      </c>
      <c r="H19" s="206">
        <f>HLOOKUP(H$14,Calculations!$A$171:$L$180,ROW(Calculations!$A$177)-ROW(Calculations!$A$171)+1,FALSE)</f>
        <v>7789.5</v>
      </c>
      <c r="I19" s="206">
        <f>HLOOKUP(I$14,Calculations!$A$171:$L$180,ROW(Calculations!$A$177)-ROW(Calculations!$A$171)+1,FALSE)</f>
        <v>7454</v>
      </c>
      <c r="N19" s="231"/>
      <c r="O19" s="100"/>
      <c r="T19" s="105" t="s">
        <v>246</v>
      </c>
      <c r="W19" s="105" t="s">
        <v>411</v>
      </c>
      <c r="X19" s="72"/>
    </row>
    <row r="20" spans="2:30" ht="15.6" customHeight="1" x14ac:dyDescent="0.2">
      <c r="B20" s="192" t="s">
        <v>299</v>
      </c>
      <c r="C20" s="193"/>
      <c r="D20" s="206">
        <f>HLOOKUP(D$14,Calculations!$A$171:$L$180,ROW(Calculations!$A$178)-ROW(Calculations!$A$171)+1,FALSE)</f>
        <v>602</v>
      </c>
      <c r="E20" s="206">
        <f>HLOOKUP(E$14,Calculations!$A$171:$L$180,ROW(Calculations!$A$178)-ROW(Calculations!$A$171)+1,FALSE)</f>
        <v>492</v>
      </c>
      <c r="F20" s="206">
        <f>HLOOKUP(F$14,Calculations!$A$171:$L$180,ROW(Calculations!$A$178)-ROW(Calculations!$A$171)+1,FALSE)</f>
        <v>579</v>
      </c>
      <c r="G20" s="206">
        <f>HLOOKUP(G$14,Calculations!$A$171:$L$180,ROW(Calculations!$A$178)-ROW(Calculations!$A$171)+1,FALSE)</f>
        <v>594</v>
      </c>
      <c r="H20" s="206">
        <f>HLOOKUP(H$14,Calculations!$A$171:$L$180,ROW(Calculations!$A$178)-ROW(Calculations!$A$171)+1,FALSE)</f>
        <v>630</v>
      </c>
      <c r="I20" s="206">
        <f>HLOOKUP(I$14,Calculations!$A$171:$L$180,ROW(Calculations!$A$178)-ROW(Calculations!$A$171)+1,FALSE)</f>
        <v>690</v>
      </c>
      <c r="N20" s="231"/>
      <c r="O20" s="100"/>
      <c r="AB20" s="72"/>
      <c r="AC20" s="72"/>
    </row>
    <row r="21" spans="2:30" ht="15.6" customHeight="1" x14ac:dyDescent="0.2">
      <c r="B21" s="194" t="s">
        <v>141</v>
      </c>
      <c r="C21" s="195"/>
      <c r="D21" s="207">
        <f>HLOOKUP(D$14,Calculations!$A$171:$L$180,ROW(Calculations!$A$180)-ROW(Calculations!$A$171)+1,FALSE)</f>
        <v>9725</v>
      </c>
      <c r="E21" s="207">
        <f>HLOOKUP(E$14,Calculations!$A$171:$L$180,ROW(Calculations!$A$180)-ROW(Calculations!$A$171)+1,FALSE)</f>
        <v>9314</v>
      </c>
      <c r="F21" s="207">
        <f>HLOOKUP(F$14,Calculations!$A$171:$L$180,ROW(Calculations!$A$180)-ROW(Calculations!$A$171)+1,FALSE)</f>
        <v>9657</v>
      </c>
      <c r="G21" s="207">
        <f>HLOOKUP(G$14,Calculations!$A$171:$L$180,ROW(Calculations!$A$180)-ROW(Calculations!$A$171)+1,FALSE)</f>
        <v>9493.5</v>
      </c>
      <c r="H21" s="207">
        <f>HLOOKUP(H$14,Calculations!$A$171:$L$180,ROW(Calculations!$A$180)-ROW(Calculations!$A$171)+1,FALSE)</f>
        <v>9708.5</v>
      </c>
      <c r="I21" s="207">
        <f>HLOOKUP(I$14,Calculations!$A$171:$L$180,ROW(Calculations!$A$180)-ROW(Calculations!$A$171)+1,FALSE)</f>
        <v>9297</v>
      </c>
      <c r="N21" s="231"/>
      <c r="O21" s="100"/>
    </row>
    <row r="22" spans="2:30" ht="15.6" customHeight="1" thickBot="1" x14ac:dyDescent="0.25">
      <c r="B22" s="236" t="s">
        <v>418</v>
      </c>
      <c r="C22" s="193"/>
      <c r="D22" s="263"/>
      <c r="E22" s="263"/>
      <c r="F22" s="263"/>
      <c r="G22" s="263"/>
      <c r="H22" s="263"/>
      <c r="I22" s="263"/>
      <c r="N22" s="231"/>
      <c r="O22" s="100"/>
    </row>
    <row r="23" spans="2:30" ht="22.5" customHeight="1" thickBot="1" x14ac:dyDescent="0.25">
      <c r="B23" s="200"/>
      <c r="C23" s="196"/>
      <c r="D23" s="196"/>
      <c r="E23" s="196"/>
      <c r="F23" s="196"/>
      <c r="H23" s="1"/>
      <c r="I23" s="1"/>
      <c r="J23" s="1"/>
      <c r="K23" s="1"/>
      <c r="L23" s="1"/>
      <c r="M23" s="1"/>
      <c r="N23" s="231"/>
      <c r="O23" s="100"/>
      <c r="T23" s="132" t="s">
        <v>325</v>
      </c>
      <c r="AA23" s="65" t="s">
        <v>440</v>
      </c>
      <c r="AB23" s="65" t="s">
        <v>440</v>
      </c>
      <c r="AC23" s="65" t="s">
        <v>243</v>
      </c>
      <c r="AD23" s="65" t="s">
        <v>243</v>
      </c>
    </row>
    <row r="24" spans="2:30" ht="18" customHeight="1" x14ac:dyDescent="0.2">
      <c r="B24" s="237" t="s">
        <v>416</v>
      </c>
      <c r="C24" s="238"/>
      <c r="D24" s="238"/>
      <c r="E24" s="238"/>
      <c r="F24" s="239" t="str">
        <f>F15</f>
        <v>2010 A</v>
      </c>
      <c r="G24" s="239" t="str">
        <f>G15</f>
        <v>2011 B</v>
      </c>
      <c r="H24" s="239" t="str">
        <f>H15</f>
        <v>2012 P</v>
      </c>
      <c r="I24" s="239" t="str">
        <f>I15</f>
        <v>2013 P</v>
      </c>
      <c r="J24" s="367" t="s">
        <v>413</v>
      </c>
      <c r="K24" s="368"/>
      <c r="L24" s="240" t="s">
        <v>440</v>
      </c>
      <c r="M24" s="241" t="s">
        <v>243</v>
      </c>
      <c r="N24" s="231"/>
      <c r="O24" s="100"/>
      <c r="T24" s="133" t="s">
        <v>327</v>
      </c>
      <c r="V24" s="134"/>
      <c r="W24" s="113"/>
      <c r="X24" s="113" t="s">
        <v>243</v>
      </c>
      <c r="Y24" s="39" t="s">
        <v>243</v>
      </c>
      <c r="AA24" s="65" t="s">
        <v>279</v>
      </c>
      <c r="AB24" s="65" t="s">
        <v>239</v>
      </c>
      <c r="AC24" s="65" t="s">
        <v>279</v>
      </c>
      <c r="AD24" s="65" t="s">
        <v>239</v>
      </c>
    </row>
    <row r="25" spans="2:30" ht="15.6" customHeight="1" x14ac:dyDescent="0.2">
      <c r="B25" s="192" t="s">
        <v>285</v>
      </c>
      <c r="C25" s="193"/>
      <c r="D25" s="193"/>
      <c r="E25" s="193"/>
      <c r="F25" s="210">
        <f>HLOOKUP(F$13,Calculations!$A$1:$L$144,ROW(Calculations!A110),FALSE)</f>
        <v>3.4902876927802237E-3</v>
      </c>
      <c r="G25" s="210">
        <f>HLOOKUP(G$13,Calculations!$A$1:$L$144,ROW(Calculations!B110),FALSE)</f>
        <v>2.1759058457164328E-2</v>
      </c>
      <c r="H25" s="210">
        <f>HLOOKUP(H$13,Calculations!$A$1:$L$144,ROW(Calculations!C110),FALSE)</f>
        <v>4.2078828013377957E-2</v>
      </c>
      <c r="I25" s="210">
        <f>HLOOKUP(I$13,Calculations!$A$1:$L$144,ROW(Calculations!D110),FALSE)</f>
        <v>3.5381850334971272E-2</v>
      </c>
      <c r="J25" s="374" t="s">
        <v>446</v>
      </c>
      <c r="K25" s="375"/>
      <c r="L25" s="208">
        <f>HLOOKUP($E$6,Calculations!$A$1:$L$158,Calculations!$B$118,FALSE)</f>
        <v>2</v>
      </c>
      <c r="M25" s="209">
        <f>HLOOKUP($E$9,Calculations!$A$1:$L$140,Calculations!$B$134,FALSE)</f>
        <v>2.33</v>
      </c>
      <c r="N25" s="231"/>
      <c r="O25" s="100"/>
      <c r="T25" s="133" t="s">
        <v>326</v>
      </c>
      <c r="V25" s="134"/>
      <c r="W25" s="107"/>
      <c r="X25" s="107" t="s">
        <v>279</v>
      </c>
      <c r="Y25" s="41" t="s">
        <v>239</v>
      </c>
      <c r="Z25" s="78">
        <f>Z26-1</f>
        <v>2006</v>
      </c>
      <c r="AA25" s="83">
        <f>HLOOKUP($E$7,Calculations!$A$1:$K$67,ROW(Calculations!A$63),FALSE)</f>
        <v>1.5</v>
      </c>
      <c r="AB25" s="83">
        <f>HLOOKUP($E$7,Calculations!$A$1:$K$73,ROW(Calculations!B$69),FALSE)</f>
        <v>0.92361111111111116</v>
      </c>
      <c r="AC25" s="65"/>
    </row>
    <row r="26" spans="2:30" ht="15.6" customHeight="1" x14ac:dyDescent="0.2">
      <c r="B26" s="192" t="s">
        <v>284</v>
      </c>
      <c r="C26" s="193"/>
      <c r="D26" s="193"/>
      <c r="E26" s="193"/>
      <c r="F26" s="210">
        <f>HLOOKUP(F$13,Calculations!$A$1:$L$144,ROW(Calculations!A111),FALSE)</f>
        <v>8.9900503532171147E-2</v>
      </c>
      <c r="G26" s="210">
        <f>HLOOKUP(G$13,Calculations!$A$1:$L$144,ROW(Calculations!B111),FALSE)</f>
        <v>0.10804487594252248</v>
      </c>
      <c r="H26" s="210">
        <f>HLOOKUP(H$13,Calculations!$A$1:$L$144,ROW(Calculations!C111),FALSE)</f>
        <v>0.12657617987415623</v>
      </c>
      <c r="I26" s="210">
        <f>HLOOKUP(I$13,Calculations!$A$1:$L$144,ROW(Calculations!D111),FALSE)</f>
        <v>0.11479990009684081</v>
      </c>
      <c r="J26" s="376" t="s">
        <v>400</v>
      </c>
      <c r="K26" s="377"/>
      <c r="L26" s="208">
        <f>HLOOKUP($E$6,Calculations!$A$1:$L$158,Calculations!$B$119,FALSE)</f>
        <v>2</v>
      </c>
      <c r="M26" s="209">
        <f>HLOOKUP($E$9,Calculations!$A$1:$L$140,Calculations!$B$135,FALSE)</f>
        <v>3.33</v>
      </c>
      <c r="N26" s="231"/>
      <c r="O26" s="100"/>
      <c r="T26" s="133" t="s">
        <v>174</v>
      </c>
      <c r="V26" s="134"/>
      <c r="W26" s="129">
        <f>W27-1</f>
        <v>2009</v>
      </c>
      <c r="X26" s="115">
        <f>HLOOKUP($E$10,Calculations!$A$1:$K$67,ROW(Calculations!F$63),FALSE)</f>
        <v>1.8333333333333333</v>
      </c>
      <c r="Y26" s="116">
        <f>HLOOKUP($E$10,Calculations!$A$1:$K$73,ROW(Calculations!G$69),FALSE)</f>
        <v>1.7013888888888888</v>
      </c>
      <c r="Z26" s="78">
        <f>Z27-1</f>
        <v>2007</v>
      </c>
      <c r="AA26" s="83">
        <f>HLOOKUP($E$7,Calculations!$A$1:$K$67,ROW(Calculations!A$64),FALSE)</f>
        <v>0.66666666666666663</v>
      </c>
      <c r="AB26" s="83">
        <f>HLOOKUP($E$7,Calculations!$A$1:$K$73,ROW(Calculations!B$70),FALSE)</f>
        <v>1.2430555555555554</v>
      </c>
      <c r="AC26" s="65"/>
    </row>
    <row r="27" spans="2:30" ht="15.6" customHeight="1" thickBot="1" x14ac:dyDescent="0.25">
      <c r="B27" s="192" t="s">
        <v>162</v>
      </c>
      <c r="C27" s="193"/>
      <c r="D27" s="193"/>
      <c r="E27" s="193"/>
      <c r="F27" s="210">
        <f>HLOOKUP(F$13,Calculations!$A$1:$L$144,ROW(Calculations!A112),FALSE)</f>
        <v>1.0840808089044727</v>
      </c>
      <c r="G27" s="210">
        <f>HLOOKUP(G$13,Calculations!$A$1:$L$144,ROW(Calculations!B112),FALSE)</f>
        <v>1.1658263371908155</v>
      </c>
      <c r="H27" s="210">
        <f>HLOOKUP(H$13,Calculations!$A$1:$L$144,ROW(Calculations!C112),FALSE)</f>
        <v>1.1460035785749079</v>
      </c>
      <c r="I27" s="210">
        <f>HLOOKUP(I$13,Calculations!$A$1:$L$144,ROW(Calculations!D112),FALSE)</f>
        <v>1.1379485810078744</v>
      </c>
      <c r="J27" s="376" t="s">
        <v>447</v>
      </c>
      <c r="K27" s="377"/>
      <c r="L27" s="208">
        <f>HLOOKUP($E$6,Calculations!$A$1:$L$158,Calculations!$B$120,FALSE)</f>
        <v>2</v>
      </c>
      <c r="M27" s="209">
        <f>HLOOKUP($E$9,Calculations!$A$1:$L$140,Calculations!$B$136,FALSE)</f>
        <v>4.67</v>
      </c>
      <c r="N27" s="231"/>
      <c r="O27" s="100"/>
      <c r="T27" s="135" t="s">
        <v>324</v>
      </c>
      <c r="V27" s="134"/>
      <c r="W27" s="129">
        <f>W28-1</f>
        <v>2010</v>
      </c>
      <c r="X27" s="115">
        <f>HLOOKUP($E$10,Calculations!$A$1:$K$67,ROW(Calculations!F$64),FALSE)</f>
        <v>2.25</v>
      </c>
      <c r="Y27" s="116">
        <f>HLOOKUP($E$10,Calculations!$A$1:$K$73,ROW(Calculations!G$70),FALSE)</f>
        <v>2.3819444444444446</v>
      </c>
      <c r="Z27" s="78">
        <f>Z28-1</f>
        <v>2008</v>
      </c>
      <c r="AA27" s="83">
        <f>HLOOKUP($E$7,Calculations!$A$1:$K$67,ROW(Calculations!A$65),FALSE)</f>
        <v>0.25</v>
      </c>
      <c r="AB27" s="83">
        <f>HLOOKUP($E$7,Calculations!$A$1:$K$73,ROW(Calculations!B$71),FALSE)</f>
        <v>1.5625</v>
      </c>
      <c r="AC27" s="65"/>
    </row>
    <row r="28" spans="2:30" ht="15.6" customHeight="1" x14ac:dyDescent="0.2">
      <c r="B28" s="192" t="s">
        <v>286</v>
      </c>
      <c r="C28" s="193"/>
      <c r="D28" s="193"/>
      <c r="E28" s="193"/>
      <c r="F28" s="210">
        <f>HLOOKUP(F$13,Calculations!$A$1:$L$144,ROW(Calculations!A113),FALSE)</f>
        <v>0.12819545806662047</v>
      </c>
      <c r="G28" s="210">
        <f>HLOOKUP(G$13,Calculations!$A$1:$L$144,ROW(Calculations!B113),FALSE)</f>
        <v>0.16291067010667343</v>
      </c>
      <c r="H28" s="210">
        <f>HLOOKUP(H$13,Calculations!$A$1:$L$144,ROW(Calculations!C113),FALSE)</f>
        <v>0.13611597545520859</v>
      </c>
      <c r="I28" s="210">
        <f>HLOOKUP(I$13,Calculations!$A$1:$L$144,ROW(Calculations!D113),FALSE)</f>
        <v>0.17443240299470394</v>
      </c>
      <c r="J28" s="376" t="s">
        <v>401</v>
      </c>
      <c r="K28" s="377"/>
      <c r="L28" s="208">
        <f>HLOOKUP($E$6,Calculations!$A$1:$L$158,Calculations!$B$121,FALSE)</f>
        <v>4</v>
      </c>
      <c r="M28" s="209">
        <f>HLOOKUP($E$9,Calculations!$A$1:$L$140,Calculations!$B$137,FALSE)</f>
        <v>4.67</v>
      </c>
      <c r="N28" s="231"/>
      <c r="O28" s="100"/>
      <c r="W28" s="114">
        <f>W29-1</f>
        <v>2011</v>
      </c>
      <c r="X28" s="115">
        <f>HLOOKUP($E$10,Calculations!$A$1:$K$67,ROW(Calculations!F$65),FALSE)</f>
        <v>4</v>
      </c>
      <c r="Y28" s="116">
        <f>HLOOKUP($E$10,Calculations!$A$1:$K$73,ROW(Calculations!G$71),FALSE)</f>
        <v>3.0625</v>
      </c>
      <c r="Z28" s="78">
        <f>Z29-1</f>
        <v>2009</v>
      </c>
      <c r="AA28" s="83">
        <f>HLOOKUP($E$7,Calculations!$A$1:$K$67,ROW(Calculations!A$66),FALSE)</f>
        <v>1.8333333333333333</v>
      </c>
      <c r="AB28" s="83">
        <f>HLOOKUP($E$7,Calculations!$A$1:$K$73,ROW(Calculations!B$72),FALSE)</f>
        <v>1.8819444444444442</v>
      </c>
      <c r="AC28" s="65"/>
      <c r="AD28" s="83"/>
    </row>
    <row r="29" spans="2:30" ht="30.95" customHeight="1" x14ac:dyDescent="0.2">
      <c r="B29" s="197" t="s">
        <v>244</v>
      </c>
      <c r="C29" s="193"/>
      <c r="D29" s="193"/>
      <c r="E29" s="193"/>
      <c r="F29" s="213">
        <f>IF(HLOOKUP(F$13,Calculations!$A$1:$L$144,ROW(Calculations!A114),FALSE)&lt;0,"Operating Deficit",IF(HLOOKUP(F$13,Calculations!$A$1:$L$144,ROW(Calculations!A114),FALSE)="Score 3","No Interest",IF(HLOOKUP(F$13,Calculations!$A$1:$L$144,ROW(Calculations!A114),FALSE)="Score 4","No Interest",IF(HLOOKUP(F$13,Calculations!$A$1:$L$144,ROW(Calculations!A114),FALSE)="Score 5","No Interest",HLOOKUP(F$13,Calculations!$A$1:$L$144,ROW(Calculations!A114),FALSE)))))</f>
        <v>1.3033980582524272</v>
      </c>
      <c r="G29" s="213">
        <f>IF(HLOOKUP(G$13,Calculations!$A$1:$L$144,ROW(Calculations!B114),FALSE)&lt;0,"Operating Deficit",IF(HLOOKUP(G$13,Calculations!$A$1:$L$144,ROW(Calculations!B114),FALSE)="Score 3","No Interest",IF(HLOOKUP(G$13,Calculations!$A$1:$L$144,ROW(Calculations!B114),FALSE)="Score 4","No Interest",IF(HLOOKUP(G$13,Calculations!$A$1:$L$144,ROW(Calculations!B114),FALSE)="Score 5","No Interest",HLOOKUP(G$13,Calculations!$A$1:$L$144,ROW(Calculations!B114),FALSE)))))</f>
        <v>6.750932733089436</v>
      </c>
      <c r="H29" s="213">
        <f>IF(HLOOKUP(H$13,Calculations!$A$1:$L$144,ROW(Calculations!C114),FALSE)&lt;0,"Operating Deficit",IF(HLOOKUP(H$13,Calculations!$A$1:$L$144,ROW(Calculations!C114),FALSE)="Score 3","No Interest",IF(HLOOKUP(H$13,Calculations!$A$1:$L$144,ROW(Calculations!C114),FALSE)="Score 4","No Interest",IF(HLOOKUP(H$13,Calculations!$A$1:$L$144,ROW(Calculations!C114),FALSE)="Score 5","No Interest",HLOOKUP(H$13,Calculations!$A$1:$L$144,ROW(Calculations!C114),FALSE)))))</f>
        <v>9.1419599094679906</v>
      </c>
      <c r="I29" s="213">
        <f>IF(HLOOKUP(I$13,Calculations!$A$1:$L$144,ROW(Calculations!D114),FALSE)&lt;0,"Operating Deficit",IF(HLOOKUP(I$13,Calculations!$A$1:$L$144,ROW(Calculations!D114),FALSE)="Score 3","No Interest",IF(HLOOKUP(I$13,Calculations!$A$1:$L$144,ROW(Calculations!D114),FALSE)="Score 4","No Interest",IF(HLOOKUP(I$13,Calculations!$A$1:$L$144,ROW(Calculations!D114),FALSE)="Score 5","No Interest",HLOOKUP(I$13,Calculations!$A$1:$L$144,ROW(Calculations!D114),FALSE)))))</f>
        <v>32.469205260476031</v>
      </c>
      <c r="J29" s="357" t="s">
        <v>402</v>
      </c>
      <c r="K29" s="358"/>
      <c r="L29" s="211">
        <f>HLOOKUP($E$6,Calculations!$A$1:$L$158,Calculations!$B$122,FALSE)</f>
        <v>0.5</v>
      </c>
      <c r="M29" s="212">
        <f>HLOOKUP($E$9,Calculations!$A$1:$L$140,Calculations!$B$138,FALSE)</f>
        <v>4</v>
      </c>
      <c r="N29" s="231"/>
      <c r="O29" s="100"/>
      <c r="W29" s="114">
        <f>W30-1</f>
        <v>2012</v>
      </c>
      <c r="X29" s="115">
        <f>HLOOKUP($E$10,Calculations!$A$1:$K$67,ROW(Calculations!F$66),FALSE)</f>
        <v>3.8333333333333335</v>
      </c>
      <c r="Y29" s="116">
        <f>HLOOKUP($E$10,Calculations!$A$1:$K$73,ROW(Calculations!G$72),FALSE)</f>
        <v>3.7430555555555554</v>
      </c>
      <c r="Z29" s="78">
        <f>E7</f>
        <v>2010</v>
      </c>
      <c r="AA29" s="83">
        <f>HLOOKUP($E$7,Calculations!$A$1:$K$67,ROW(Calculations!A$67),FALSE)</f>
        <v>2.25</v>
      </c>
      <c r="AB29" s="83">
        <f>HLOOKUP($E$7,Calculations!$A$1:$K$73,ROW(Calculations!B$73),FALSE)</f>
        <v>2.2013888888888888</v>
      </c>
      <c r="AC29" s="83">
        <f>VLOOKUP(Z29,$W$24:$Y$30,2,FALSE)</f>
        <v>2.25</v>
      </c>
      <c r="AD29" s="83">
        <f>VLOOKUP($Z29,$W$24:$Y$30,3,FALSE)</f>
        <v>2.3819444444444446</v>
      </c>
    </row>
    <row r="30" spans="2:30" ht="15.75" thickBot="1" x14ac:dyDescent="0.25">
      <c r="B30" s="192" t="s">
        <v>159</v>
      </c>
      <c r="C30" s="193"/>
      <c r="D30" s="193"/>
      <c r="E30" s="193"/>
      <c r="F30" s="214">
        <f>HLOOKUP(F$13,Calculations!$A$1:$L$144,ROW(Calculations!A115),FALSE)</f>
        <v>1.9396412736799677</v>
      </c>
      <c r="G30" s="214">
        <f>HLOOKUP(G$13,Calculations!$A$1:$L$144,ROW(Calculations!B115),FALSE)</f>
        <v>2.5260322940369431</v>
      </c>
      <c r="H30" s="214">
        <f>HLOOKUP(H$13,Calculations!$A$1:$L$144,ROW(Calculations!C115),FALSE)</f>
        <v>2.2646726475515129</v>
      </c>
      <c r="I30" s="214">
        <f>HLOOKUP(I$13,Calculations!$A$1:$L$144,ROW(Calculations!D115),FALSE)</f>
        <v>2.7117933028780854</v>
      </c>
      <c r="J30" s="365" t="s">
        <v>403</v>
      </c>
      <c r="K30" s="366"/>
      <c r="L30" s="208">
        <f>HLOOKUP($E$6,Calculations!$A$1:$L$158,Calculations!$B$123,FALSE)</f>
        <v>3</v>
      </c>
      <c r="M30" s="209">
        <f>HLOOKUP($E$9,Calculations!$A$1:$L$140,Calculations!$B$139,FALSE)</f>
        <v>4.67</v>
      </c>
      <c r="N30" s="231"/>
      <c r="O30" s="100"/>
      <c r="W30" s="117">
        <f>E10</f>
        <v>2013</v>
      </c>
      <c r="X30" s="118">
        <f>HLOOKUP($E$10,Calculations!$A$1:$K$67,ROW(Calculations!F$67),FALSE)</f>
        <v>4.333333333333333</v>
      </c>
      <c r="Y30" s="119">
        <f>HLOOKUP($E$10,Calculations!$A$1:$K$73,ROW(Calculations!G$73),FALSE)</f>
        <v>4.4236111111111107</v>
      </c>
      <c r="Z30" s="78">
        <f>Z29+1</f>
        <v>2011</v>
      </c>
      <c r="AA30" s="83"/>
      <c r="AB30" s="83"/>
      <c r="AC30" s="83">
        <f>VLOOKUP(Z30,$W$24:$Y$30,2,FALSE)</f>
        <v>4</v>
      </c>
      <c r="AD30" s="83">
        <f>VLOOKUP($Z30,$W$24:$Y$30,3,FALSE)</f>
        <v>3.0625</v>
      </c>
    </row>
    <row r="31" spans="2:30" ht="22.5" customHeight="1" x14ac:dyDescent="0.25">
      <c r="B31" s="198" t="s">
        <v>245</v>
      </c>
      <c r="C31" s="199"/>
      <c r="D31" s="199"/>
      <c r="E31" s="199"/>
      <c r="F31" s="215">
        <f>HLOOKUP(F13,Calculations!$A$1:$K$158,ROW(Calculations!$A$124),FALSE)</f>
        <v>2.25</v>
      </c>
      <c r="G31" s="215">
        <f>HLOOKUP(G13,Calculations!$A$1:$K$158,ROW(Calculations!$A$124),FALSE)</f>
        <v>4</v>
      </c>
      <c r="H31" s="215">
        <f>HLOOKUP(H13,Calculations!$A$1:$K$158,ROW(Calculations!$A$124),FALSE)</f>
        <v>3.8333333333333335</v>
      </c>
      <c r="I31" s="215">
        <f>HLOOKUP(I13,Calculations!$A$1:$K$158,ROW(Calculations!$A$124),FALSE)</f>
        <v>4.333333333333333</v>
      </c>
      <c r="J31" s="220"/>
      <c r="K31" s="220"/>
      <c r="L31" s="215">
        <f>AVERAGE(L25:L30)</f>
        <v>2.25</v>
      </c>
      <c r="M31" s="215">
        <f>AVERAGE(M25:M30)</f>
        <v>3.9450000000000003</v>
      </c>
      <c r="N31" s="231"/>
      <c r="O31" s="100"/>
      <c r="Z31" s="78">
        <f>Z30+1</f>
        <v>2012</v>
      </c>
      <c r="AA31" s="83"/>
      <c r="AB31" s="83"/>
      <c r="AC31" s="83">
        <f>VLOOKUP(Z31,$W$24:$Y$30,2,FALSE)</f>
        <v>3.8333333333333335</v>
      </c>
      <c r="AD31" s="83">
        <f>VLOOKUP($Z31,$W$24:$Y$30,3,FALSE)</f>
        <v>3.7430555555555554</v>
      </c>
    </row>
    <row r="32" spans="2:30" ht="22.5" customHeight="1" x14ac:dyDescent="0.2">
      <c r="B32" s="200"/>
      <c r="C32" s="201"/>
      <c r="D32" s="201"/>
      <c r="E32" s="201"/>
      <c r="F32" s="217"/>
      <c r="G32" s="217"/>
      <c r="H32" s="217"/>
      <c r="I32" s="217"/>
      <c r="J32" s="201"/>
      <c r="L32" s="216"/>
      <c r="M32" s="217"/>
      <c r="N32" s="231"/>
      <c r="O32" s="100"/>
      <c r="Z32" s="78">
        <f>Z31+1</f>
        <v>2013</v>
      </c>
      <c r="AA32" s="83"/>
      <c r="AB32" s="83"/>
      <c r="AC32" s="83">
        <f>VLOOKUP(Z32,$W$24:$Y$30,2,FALSE)</f>
        <v>4.333333333333333</v>
      </c>
      <c r="AD32" s="83">
        <f>VLOOKUP($Z32,$W$24:$Y$30,3,FALSE)</f>
        <v>4.4236111111111107</v>
      </c>
    </row>
    <row r="33" spans="2:29" ht="18" customHeight="1" x14ac:dyDescent="0.2">
      <c r="B33" s="237" t="s">
        <v>412</v>
      </c>
      <c r="C33" s="238"/>
      <c r="D33" s="238"/>
      <c r="E33" s="238"/>
      <c r="F33" s="239" t="str">
        <f>F24</f>
        <v>2010 A</v>
      </c>
      <c r="G33" s="239" t="str">
        <f>G24</f>
        <v>2011 B</v>
      </c>
      <c r="H33" s="239" t="str">
        <f>H24</f>
        <v>2012 P</v>
      </c>
      <c r="I33" s="239" t="str">
        <f>I24</f>
        <v>2013 P</v>
      </c>
      <c r="J33" s="367" t="s">
        <v>413</v>
      </c>
      <c r="K33" s="368"/>
      <c r="L33" s="240" t="s">
        <v>440</v>
      </c>
      <c r="M33" s="241" t="s">
        <v>243</v>
      </c>
      <c r="N33" s="231"/>
      <c r="O33" s="100"/>
      <c r="Z33" s="78"/>
      <c r="AA33" s="83"/>
      <c r="AB33" s="83"/>
      <c r="AC33" s="83"/>
    </row>
    <row r="34" spans="2:29" ht="15.6" customHeight="1" x14ac:dyDescent="0.2">
      <c r="B34" s="192" t="s">
        <v>287</v>
      </c>
      <c r="C34" s="193"/>
      <c r="D34" s="193"/>
      <c r="E34" s="193"/>
      <c r="F34" s="210">
        <f>HLOOKUP(F$13,Calculations!$A$1:$L$148,ROW(Calculations!A143),FALSE)</f>
        <v>4.5621122303294272E-2</v>
      </c>
      <c r="G34" s="210">
        <f>HLOOKUP(G$13,Calculations!$A$1:$L$148,ROW(Calculations!B143),FALSE)</f>
        <v>3.0437890892211165E-2</v>
      </c>
      <c r="H34" s="210">
        <f>HLOOKUP(H$13,Calculations!$A$1:$L$148,ROW(Calculations!C143),FALSE)</f>
        <v>3.7921013298451454E-2</v>
      </c>
      <c r="I34" s="210">
        <f>HLOOKUP(I$13,Calculations!$A$1:$L$148,ROW(Calculations!D143),FALSE)</f>
        <v>8.2238889249189248E-3</v>
      </c>
      <c r="J34" s="369" t="s">
        <v>404</v>
      </c>
      <c r="K34" s="370"/>
      <c r="L34" s="208">
        <f>HLOOKUP($E$7,Calculations!$A$1:$L$158,Calculations!$B$152,FALSE)</f>
        <v>3</v>
      </c>
      <c r="M34" s="209">
        <f>HLOOKUP($E$10,Calculations!$A$1:$L$168,Calculations!$B$162,FALSE)</f>
        <v>3.0000000000000004</v>
      </c>
      <c r="N34" s="231"/>
      <c r="O34" s="100"/>
    </row>
    <row r="35" spans="2:29" ht="15.6" customHeight="1" x14ac:dyDescent="0.2">
      <c r="B35" s="192" t="s">
        <v>166</v>
      </c>
      <c r="C35" s="193"/>
      <c r="D35" s="193"/>
      <c r="E35" s="193"/>
      <c r="F35" s="210">
        <f>IF(HLOOKUP(F$13,Calculations!$A$1:$L$148,ROW(Calculations!A144),FALSE)="Not Available","N/A",HLOOKUP(F$13,Calculations!$A$1:$L$148,ROW(Calculations!A144),FALSE))</f>
        <v>0.99386027189936477</v>
      </c>
      <c r="G35" s="210">
        <f>IF(HLOOKUP(G$13,Calculations!$A$1:$L$148,ROW(Calculations!B144),FALSE)="Not Available","N/A",HLOOKUP(G$13,Calculations!$A$1:$L$148,ROW(Calculations!B144),FALSE))</f>
        <v>1.0167762335063473</v>
      </c>
      <c r="H35" s="210" t="str">
        <f>IF(HLOOKUP(H$13,Calculations!$A$1:$L$148,ROW(Calculations!C144),FALSE)="Not Available","N/A",HLOOKUP(H$13,Calculations!$A$1:$L$148,ROW(Calculations!C144),FALSE))</f>
        <v>N/A</v>
      </c>
      <c r="I35" s="210" t="str">
        <f>IF(HLOOKUP(I$13,Calculations!$A$1:$L$148,ROW(Calculations!D144),FALSE)="Not Available","N/A",HLOOKUP(I$13,Calculations!$A$1:$L$148,ROW(Calculations!D144),FALSE))</f>
        <v>N/A</v>
      </c>
      <c r="J35" s="361" t="s">
        <v>405</v>
      </c>
      <c r="K35" s="362"/>
      <c r="L35" s="208">
        <f>HLOOKUP($E$7,Calculations!$A$1:$L$158,Calculations!$B$153,FALSE)</f>
        <v>5</v>
      </c>
      <c r="M35" s="209" t="str">
        <f>HLOOKUP($E$10,Calculations!$A$1:$L$168,Calculations!$B$163,FALSE)</f>
        <v>NA</v>
      </c>
      <c r="N35" s="231"/>
      <c r="O35" s="100"/>
    </row>
    <row r="36" spans="2:29" ht="15.6" customHeight="1" x14ac:dyDescent="0.2">
      <c r="B36" s="192" t="s">
        <v>439</v>
      </c>
      <c r="C36" s="193"/>
      <c r="D36" s="193"/>
      <c r="E36" s="193"/>
      <c r="F36" s="221">
        <f>HLOOKUP(F$13,Calculations!$A$1:$L$148,ROW(Calculations!A145),FALSE)</f>
        <v>1.4444444444444444</v>
      </c>
      <c r="G36" s="221">
        <f>HLOOKUP(G$13,Calculations!$A$1:$L$148,ROW(Calculations!B145),FALSE)</f>
        <v>2.6944444444444446</v>
      </c>
      <c r="H36" s="221">
        <f>HLOOKUP(H$13,Calculations!$A$1:$L$148,ROW(Calculations!C145),FALSE)</f>
        <v>3.3611111111111112</v>
      </c>
      <c r="I36" s="221">
        <f>HLOOKUP(I$13,Calculations!$A$1:$L$148,ROW(Calculations!D145),FALSE)</f>
        <v>4.0555555555555554</v>
      </c>
      <c r="J36" s="361" t="s">
        <v>451</v>
      </c>
      <c r="K36" s="362"/>
      <c r="L36" s="208">
        <f>HLOOKUP($E$7,Calculations!$A$1:$L$158,Calculations!$B$154,FALSE)</f>
        <v>1.4444444444444444</v>
      </c>
      <c r="M36" s="209">
        <f>HLOOKUP($E$10,Calculations!$A$1:$L$168,Calculations!$B$164,FALSE)</f>
        <v>3.916666666666667</v>
      </c>
      <c r="N36" s="231"/>
      <c r="O36" s="100"/>
      <c r="T36" s="78"/>
      <c r="U36" s="99"/>
      <c r="V36" s="99"/>
    </row>
    <row r="37" spans="2:29" ht="15.6" customHeight="1" x14ac:dyDescent="0.2">
      <c r="B37" s="280" t="s">
        <v>448</v>
      </c>
      <c r="C37" s="193"/>
      <c r="D37" s="193"/>
      <c r="E37" s="193"/>
      <c r="F37" s="210">
        <f>HLOOKUP(F$13,Calculations!$A$1:$L$148,ROW(Calculations!A146),FALSE)</f>
        <v>5.9184411164785934E-2</v>
      </c>
      <c r="G37" s="210">
        <f>HLOOKUP(G$13,Calculations!$A$1:$L$148,ROW(Calculations!B146),FALSE)</f>
        <v>7.2962185853257311E-2</v>
      </c>
      <c r="H37" s="210">
        <f>HLOOKUP(H$13,Calculations!$A$1:$L$148,ROW(Calculations!C146),FALSE)</f>
        <v>8.0530456183066271E-2</v>
      </c>
      <c r="I37" s="210">
        <f>HLOOKUP(I$13,Calculations!$A$1:$L$148,ROW(Calculations!D146),FALSE)</f>
        <v>8.3798347897801009E-2</v>
      </c>
      <c r="J37" s="361" t="s">
        <v>406</v>
      </c>
      <c r="K37" s="362"/>
      <c r="L37" s="208">
        <f>HLOOKUP($E$7,Calculations!$A$1:$L$158,Calculations!$B$155,FALSE)</f>
        <v>3</v>
      </c>
      <c r="M37" s="209">
        <f>HLOOKUP($E$10,Calculations!$A$1:$L$168,Calculations!$B$165,FALSE)</f>
        <v>4</v>
      </c>
      <c r="N37" s="231"/>
      <c r="O37" s="100"/>
      <c r="T37" s="78"/>
      <c r="U37" s="99"/>
      <c r="V37" s="99"/>
    </row>
    <row r="38" spans="2:29" ht="15.6" customHeight="1" x14ac:dyDescent="0.2">
      <c r="B38" s="192" t="s">
        <v>293</v>
      </c>
      <c r="C38" s="193"/>
      <c r="D38" s="193"/>
      <c r="E38" s="193"/>
      <c r="F38" s="218">
        <f>IF(HLOOKUP(F$13,Calculations!$A$1:$L$148,ROW(Calculations!A147),FALSE)="Score 5","No net debt",HLOOKUP(F$13,Calculations!$A$1:$L$148,ROW(Calculations!A147),FALSE))</f>
        <v>-1.9904629042485729</v>
      </c>
      <c r="G38" s="218" t="str">
        <f>IF(HLOOKUP(G$13,Calculations!$A$1:$L$148,ROW(Calculations!B147),FALSE)="Score 5","No net debt",HLOOKUP(G$13,Calculations!$A$1:$L$148,ROW(Calculations!B147),FALSE))</f>
        <v>No net debt</v>
      </c>
      <c r="H38" s="218">
        <f>IF(HLOOKUP(H$13,Calculations!$A$1:$L$148,ROW(Calculations!C147),FALSE)="Score 5","No net debt",HLOOKUP(H$13,Calculations!$A$1:$L$148,ROW(Calculations!C147),FALSE))</f>
        <v>0.26614674025225621</v>
      </c>
      <c r="I38" s="218" t="str">
        <f>IF(HLOOKUP(I$13,Calculations!$A$1:$L$148,ROW(Calculations!D147),FALSE)="Score 5","No net debt",HLOOKUP(I$13,Calculations!$A$1:$L$148,ROW(Calculations!D147),FALSE))</f>
        <v>No net debt</v>
      </c>
      <c r="J38" s="361" t="s">
        <v>407</v>
      </c>
      <c r="K38" s="362"/>
      <c r="L38" s="208">
        <f>HLOOKUP($E$7,Calculations!$A$1:$L$158,Calculations!$B$156,FALSE)</f>
        <v>-2</v>
      </c>
      <c r="M38" s="209">
        <f>HLOOKUP($E$10,Calculations!$A$1:$L$168,Calculations!$B$166,FALSE)</f>
        <v>4.8</v>
      </c>
      <c r="N38" s="231"/>
      <c r="O38" s="100"/>
      <c r="T38" s="78"/>
      <c r="U38" s="99"/>
      <c r="V38" s="99"/>
    </row>
    <row r="39" spans="2:29" x14ac:dyDescent="0.2">
      <c r="B39" s="192" t="s">
        <v>295</v>
      </c>
      <c r="C39" s="193"/>
      <c r="D39" s="193"/>
      <c r="E39" s="193"/>
      <c r="F39" s="221">
        <f>HLOOKUP(F$13,Calculations!$A$1:$L$157,ROW(Calculations!$A157),FALSE)</f>
        <v>2</v>
      </c>
      <c r="G39" s="221">
        <f>HLOOKUP(G$13,Calculations!$A$1:$L$157,ROW(Calculations!$A157),FALSE)</f>
        <v>3</v>
      </c>
      <c r="H39" s="221">
        <f>HLOOKUP(H$13,Calculations!$A$1:$L$157,ROW(Calculations!$A157),FALSE)</f>
        <v>3</v>
      </c>
      <c r="I39" s="221">
        <f>HLOOKUP(I$13,Calculations!$A$1:$L$157,ROW(Calculations!$A157),FALSE)</f>
        <v>3</v>
      </c>
      <c r="J39" s="363"/>
      <c r="K39" s="364"/>
      <c r="L39" s="219">
        <f>HLOOKUP($E$7,Calculations!$A$1:$L$158,Calculations!$B$157,FALSE)</f>
        <v>2</v>
      </c>
      <c r="M39" s="209">
        <f>HLOOKUP($E$10,Calculations!$A$1:$L$168,Calculations!$B$167,FALSE)</f>
        <v>3.0000000000000004</v>
      </c>
      <c r="N39" s="231"/>
      <c r="O39" s="100"/>
      <c r="T39" s="78"/>
      <c r="U39" s="99"/>
      <c r="V39" s="99"/>
    </row>
    <row r="40" spans="2:29" ht="22.5" customHeight="1" x14ac:dyDescent="0.25">
      <c r="B40" s="198" t="s">
        <v>250</v>
      </c>
      <c r="C40" s="199"/>
      <c r="D40" s="199"/>
      <c r="E40" s="199"/>
      <c r="F40" s="215">
        <f>HLOOKUP(F13,Calculations!$A$1:$K$158,ROW(Calculations!$A$158),FALSE)</f>
        <v>2.074074074074074</v>
      </c>
      <c r="G40" s="215">
        <f>HLOOKUP(G13,Calculations!$A$1:$K$158,ROW(Calculations!$A$158),FALSE)</f>
        <v>3.6157407407407405</v>
      </c>
      <c r="H40" s="215">
        <f>HLOOKUP(H13,Calculations!$A$1:$K$158,ROW(Calculations!$A$158),FALSE)</f>
        <v>3.4722222222222223</v>
      </c>
      <c r="I40" s="215">
        <f>HLOOKUP(I13,Calculations!$A$1:$K$158,ROW(Calculations!$A$158),FALSE)</f>
        <v>3.8111111111111113</v>
      </c>
      <c r="J40" s="220"/>
      <c r="K40" s="220"/>
      <c r="L40" s="215">
        <f>AVERAGE(L34:L39)</f>
        <v>2.074074074074074</v>
      </c>
      <c r="M40" s="215">
        <f>AVERAGE(M34:M39)</f>
        <v>3.7433333333333336</v>
      </c>
      <c r="N40" s="231"/>
      <c r="O40" s="100"/>
      <c r="T40" s="78"/>
      <c r="U40" s="99"/>
      <c r="V40" s="99"/>
    </row>
    <row r="41" spans="2:29" ht="22.5" customHeight="1" x14ac:dyDescent="0.25">
      <c r="B41" s="236" t="s">
        <v>414</v>
      </c>
      <c r="C41" s="190"/>
      <c r="D41" s="190"/>
      <c r="E41" s="190"/>
      <c r="F41" s="191"/>
      <c r="G41" s="191"/>
      <c r="H41" s="191"/>
      <c r="I41" s="191"/>
      <c r="J41" s="191"/>
      <c r="K41" s="191"/>
      <c r="L41" s="1"/>
      <c r="N41" s="231"/>
      <c r="O41" s="100"/>
      <c r="T41" s="78"/>
      <c r="U41" s="99"/>
      <c r="V41" s="99"/>
    </row>
    <row r="42" spans="2:29" ht="15" customHeight="1" x14ac:dyDescent="0.25">
      <c r="B42" s="236" t="s">
        <v>415</v>
      </c>
      <c r="C42" s="190"/>
      <c r="D42" s="190"/>
      <c r="E42" s="190"/>
      <c r="F42" s="191"/>
      <c r="G42" s="191"/>
      <c r="H42" s="191"/>
      <c r="I42" s="191"/>
      <c r="J42" s="191"/>
      <c r="K42" s="191"/>
      <c r="L42" s="1"/>
      <c r="N42" s="231"/>
      <c r="O42" s="100"/>
      <c r="T42" s="78"/>
      <c r="U42" s="99"/>
      <c r="V42" s="99"/>
    </row>
    <row r="43" spans="2:29" ht="22.5" customHeight="1" x14ac:dyDescent="0.2">
      <c r="B43" s="216"/>
      <c r="C43" s="1"/>
      <c r="D43" s="1"/>
      <c r="E43" s="1"/>
      <c r="F43" s="1"/>
      <c r="G43" s="1"/>
      <c r="H43" s="1"/>
      <c r="I43" s="1"/>
      <c r="J43" s="1"/>
      <c r="K43" s="1"/>
      <c r="L43" s="1"/>
      <c r="N43" s="231"/>
      <c r="O43" s="100"/>
      <c r="T43" s="78"/>
      <c r="U43" s="99"/>
      <c r="V43" s="99"/>
    </row>
    <row r="44" spans="2:29" x14ac:dyDescent="0.2">
      <c r="B44" s="222"/>
      <c r="C44" s="172"/>
      <c r="D44" s="172"/>
      <c r="E44" s="172"/>
      <c r="F44" s="172"/>
      <c r="G44" s="172"/>
      <c r="H44" s="172"/>
      <c r="I44" s="172"/>
      <c r="J44" s="172"/>
      <c r="K44" s="172"/>
      <c r="L44" s="172"/>
      <c r="N44" s="231"/>
      <c r="O44" s="100"/>
      <c r="T44" s="78"/>
      <c r="U44" s="99"/>
      <c r="V44" s="99"/>
    </row>
    <row r="45" spans="2:29" x14ac:dyDescent="0.2">
      <c r="B45" s="222"/>
      <c r="C45" s="172"/>
      <c r="D45" s="172"/>
      <c r="E45" s="172"/>
      <c r="F45" s="172"/>
      <c r="G45" s="172"/>
      <c r="H45" s="172"/>
      <c r="I45" s="172"/>
      <c r="J45" s="172"/>
      <c r="K45" s="172"/>
      <c r="L45" s="172"/>
      <c r="N45" s="231"/>
      <c r="O45" s="100"/>
      <c r="T45" s="78"/>
      <c r="U45" s="99"/>
      <c r="V45" s="99"/>
    </row>
    <row r="46" spans="2:29" x14ac:dyDescent="0.2">
      <c r="B46" s="222"/>
      <c r="C46" s="172"/>
      <c r="D46" s="172"/>
      <c r="E46" s="172"/>
      <c r="F46" s="172"/>
      <c r="G46" s="172"/>
      <c r="H46" s="172"/>
      <c r="I46" s="172"/>
      <c r="J46" s="172"/>
      <c r="K46" s="172"/>
      <c r="L46" s="172"/>
      <c r="N46" s="231"/>
      <c r="O46" s="100"/>
    </row>
    <row r="47" spans="2:29" x14ac:dyDescent="0.2">
      <c r="B47" s="222"/>
      <c r="C47" s="172"/>
      <c r="D47" s="172"/>
      <c r="E47" s="172"/>
      <c r="F47" s="172"/>
      <c r="G47" s="172"/>
      <c r="H47" s="172"/>
      <c r="I47" s="172"/>
      <c r="J47" s="172"/>
      <c r="K47" s="172"/>
      <c r="L47" s="172"/>
      <c r="N47" s="231"/>
      <c r="O47" s="100"/>
    </row>
    <row r="48" spans="2:29" x14ac:dyDescent="0.2">
      <c r="B48" s="222"/>
      <c r="C48" s="172"/>
      <c r="D48" s="172"/>
      <c r="E48" s="172"/>
      <c r="F48" s="172"/>
      <c r="G48" s="172"/>
      <c r="H48" s="172"/>
      <c r="I48" s="172"/>
      <c r="J48" s="172"/>
      <c r="K48" s="172"/>
      <c r="L48" s="172"/>
      <c r="N48" s="231"/>
      <c r="O48" s="100"/>
    </row>
    <row r="49" spans="2:15" x14ac:dyDescent="0.2">
      <c r="B49" s="222"/>
      <c r="C49" s="172"/>
      <c r="D49" s="172"/>
      <c r="E49" s="173"/>
      <c r="F49" s="173"/>
      <c r="G49" s="173"/>
      <c r="H49" s="173"/>
      <c r="I49" s="173"/>
      <c r="J49" s="173"/>
      <c r="K49" s="173"/>
      <c r="L49" s="172"/>
      <c r="N49" s="231"/>
      <c r="O49" s="100"/>
    </row>
    <row r="50" spans="2:15" x14ac:dyDescent="0.2">
      <c r="B50" s="222"/>
      <c r="C50" s="172"/>
      <c r="D50" s="172"/>
      <c r="E50" s="174"/>
      <c r="F50" s="174"/>
      <c r="G50" s="174"/>
      <c r="H50" s="174"/>
      <c r="I50" s="174"/>
      <c r="J50" s="174"/>
      <c r="K50" s="174"/>
      <c r="L50" s="172"/>
      <c r="N50" s="231"/>
      <c r="O50" s="100"/>
    </row>
    <row r="51" spans="2:15" x14ac:dyDescent="0.2">
      <c r="B51" s="222"/>
      <c r="C51" s="172"/>
      <c r="D51" s="172"/>
      <c r="E51" s="174"/>
      <c r="F51" s="174"/>
      <c r="G51" s="174"/>
      <c r="H51" s="174"/>
      <c r="I51" s="174"/>
      <c r="J51" s="174"/>
      <c r="K51" s="174"/>
      <c r="L51" s="172"/>
      <c r="N51" s="231"/>
      <c r="O51" s="100"/>
    </row>
    <row r="52" spans="2:15" x14ac:dyDescent="0.2">
      <c r="B52" s="222"/>
      <c r="C52" s="172"/>
      <c r="D52" s="172"/>
      <c r="E52" s="174"/>
      <c r="F52" s="174"/>
      <c r="G52" s="174"/>
      <c r="H52" s="174"/>
      <c r="I52" s="174"/>
      <c r="J52" s="174"/>
      <c r="K52" s="174"/>
      <c r="L52" s="172"/>
      <c r="N52" s="231"/>
      <c r="O52" s="100"/>
    </row>
    <row r="53" spans="2:15" x14ac:dyDescent="0.2">
      <c r="B53" s="222"/>
      <c r="C53" s="172"/>
      <c r="D53" s="172"/>
      <c r="E53" s="174"/>
      <c r="F53" s="174"/>
      <c r="G53" s="174"/>
      <c r="H53" s="174"/>
      <c r="I53" s="174"/>
      <c r="J53" s="174"/>
      <c r="K53" s="174"/>
      <c r="L53" s="172"/>
      <c r="N53" s="231"/>
      <c r="O53" s="100"/>
    </row>
    <row r="54" spans="2:15" x14ac:dyDescent="0.2">
      <c r="B54" s="222"/>
      <c r="C54" s="172"/>
      <c r="D54" s="172"/>
      <c r="E54" s="174"/>
      <c r="F54" s="174"/>
      <c r="G54" s="174"/>
      <c r="H54" s="174"/>
      <c r="I54" s="174"/>
      <c r="J54" s="174"/>
      <c r="K54" s="174"/>
      <c r="L54" s="172"/>
      <c r="N54" s="231"/>
      <c r="O54" s="100"/>
    </row>
    <row r="55" spans="2:15" x14ac:dyDescent="0.2">
      <c r="B55" s="222"/>
      <c r="C55" s="172"/>
      <c r="D55" s="172"/>
      <c r="E55" s="172"/>
      <c r="F55" s="172"/>
      <c r="G55" s="172"/>
      <c r="H55" s="172"/>
      <c r="I55" s="174"/>
      <c r="J55" s="175"/>
      <c r="K55" s="172"/>
      <c r="L55" s="172"/>
      <c r="N55" s="231"/>
      <c r="O55" s="100"/>
    </row>
    <row r="56" spans="2:15" x14ac:dyDescent="0.2">
      <c r="B56" s="222"/>
      <c r="C56" s="172"/>
      <c r="D56" s="172"/>
      <c r="E56" s="172"/>
      <c r="F56" s="172"/>
      <c r="G56" s="172"/>
      <c r="H56" s="172"/>
      <c r="I56" s="172"/>
      <c r="J56" s="172"/>
      <c r="K56" s="172"/>
      <c r="L56" s="172"/>
      <c r="N56" s="231"/>
      <c r="O56" s="100"/>
    </row>
    <row r="57" spans="2:15" ht="18" x14ac:dyDescent="0.25">
      <c r="B57" s="222"/>
      <c r="C57" s="172"/>
      <c r="D57" s="172"/>
      <c r="E57" s="172"/>
      <c r="F57" s="172"/>
      <c r="G57" s="176" t="str">
        <f>"Historical "&amp;E6&amp;" FMF risk rating:"</f>
        <v>Historical 2010 FMF risk rating:</v>
      </c>
      <c r="H57" s="177"/>
      <c r="I57" s="172"/>
      <c r="J57" s="72">
        <f>MIN(L31,L40)</f>
        <v>2.074074074074074</v>
      </c>
      <c r="K57" s="378" t="str">
        <f>IF(J57&lt;2,"High Risk",IF(J57&gt;=3,"Low Risk","Moderate Risk"))</f>
        <v>Moderate Risk</v>
      </c>
      <c r="L57" s="355"/>
      <c r="M57" s="265"/>
      <c r="N57" s="231"/>
      <c r="O57" s="100"/>
    </row>
    <row r="58" spans="2:15" ht="18" x14ac:dyDescent="0.25">
      <c r="B58" s="222"/>
      <c r="C58" s="172"/>
      <c r="D58" s="172"/>
      <c r="E58" s="172"/>
      <c r="F58" s="172"/>
      <c r="G58" s="172" t="s">
        <v>452</v>
      </c>
      <c r="H58" s="177"/>
      <c r="I58" s="172"/>
      <c r="J58" s="72">
        <f>MIN(M31,M40)</f>
        <v>3.7433333333333336</v>
      </c>
      <c r="K58" s="378" t="str">
        <f>IF(J58&lt;2,"High Risk",IF(J58&gt;=3,"Low Risk","Moderate Risk"))</f>
        <v>Low Risk</v>
      </c>
      <c r="L58" s="355"/>
      <c r="M58" s="265"/>
      <c r="N58" s="231"/>
      <c r="O58" s="100"/>
    </row>
    <row r="59" spans="2:15" ht="18" x14ac:dyDescent="0.25">
      <c r="B59" s="222"/>
      <c r="C59" s="172"/>
      <c r="D59" s="172"/>
      <c r="E59" s="172"/>
      <c r="F59" s="172"/>
      <c r="G59" s="172" t="s">
        <v>453</v>
      </c>
      <c r="H59" s="177"/>
      <c r="I59" s="172"/>
      <c r="J59" s="72">
        <f>IF(Confidence="No",HistoricalView,IF(Confidence="Low",HistoricalView*0.75+FutureView*0.25,IF(Confidence="Moderate",HistoricalView*0.5+FutureView*0.5,IF(Confidence="TBC",HistoricalView*0.5+FutureView*0.5,IF(Confidence="high",HistoricalView*0.25+FutureView*0.75)))))</f>
        <v>2.9087037037037038</v>
      </c>
      <c r="K59" s="378" t="str">
        <f>IF(K18="No","High Risk",IF(K18="Low",IF(MIN(2.9,J59)&lt;2,"High Risk","Moderate Risk"),IF(J59&lt;2,"High Risk",IF(J59&gt;=3,"Low Risk","Moderate Risk"))))</f>
        <v>Moderate Risk</v>
      </c>
      <c r="L59" s="355"/>
      <c r="M59" s="265"/>
      <c r="N59" s="231"/>
      <c r="O59" s="100"/>
    </row>
    <row r="60" spans="2:15" x14ac:dyDescent="0.2">
      <c r="B60" s="222"/>
      <c r="C60" s="172"/>
      <c r="D60" s="172"/>
      <c r="E60" s="172"/>
      <c r="F60" s="172"/>
      <c r="G60" s="172"/>
      <c r="H60" s="172"/>
      <c r="I60" s="172"/>
      <c r="J60" s="172"/>
      <c r="K60" s="172"/>
      <c r="L60" s="172"/>
      <c r="N60" s="231"/>
      <c r="O60" s="100"/>
    </row>
    <row r="61" spans="2:15" ht="15.6" customHeight="1" x14ac:dyDescent="0.25">
      <c r="B61" s="223" t="s">
        <v>329</v>
      </c>
      <c r="C61" s="172"/>
      <c r="D61" s="172"/>
      <c r="E61" s="172"/>
      <c r="F61" s="172"/>
      <c r="G61" s="172"/>
      <c r="H61" s="172"/>
      <c r="I61" s="172"/>
      <c r="J61" s="172"/>
      <c r="K61" s="172"/>
      <c r="L61" s="172"/>
      <c r="N61" s="231"/>
      <c r="O61" s="100"/>
    </row>
    <row r="62" spans="2:15" x14ac:dyDescent="0.2">
      <c r="B62" s="224"/>
      <c r="C62" s="310"/>
      <c r="D62" s="176"/>
      <c r="E62" s="172"/>
      <c r="F62" s="172"/>
      <c r="G62" s="172"/>
      <c r="H62" s="172"/>
      <c r="I62" s="172"/>
      <c r="J62" s="172"/>
      <c r="K62" s="172"/>
      <c r="L62" s="172"/>
      <c r="M62" s="172"/>
      <c r="N62" s="231"/>
      <c r="O62" s="100"/>
    </row>
    <row r="63" spans="2:15" x14ac:dyDescent="0.2">
      <c r="B63" s="224"/>
      <c r="C63" s="310"/>
      <c r="D63" s="176"/>
      <c r="E63" s="172"/>
      <c r="F63" s="172"/>
      <c r="G63" s="172"/>
      <c r="H63" s="172"/>
      <c r="I63" s="172"/>
      <c r="J63" s="172"/>
      <c r="K63" s="172"/>
      <c r="L63" s="172"/>
      <c r="N63" s="231"/>
      <c r="O63" s="100"/>
    </row>
    <row r="64" spans="2:15" x14ac:dyDescent="0.2">
      <c r="B64" s="225"/>
      <c r="C64" s="310"/>
      <c r="D64" s="178"/>
      <c r="E64" s="172"/>
      <c r="F64" s="172"/>
      <c r="G64" s="172"/>
      <c r="H64" s="172"/>
      <c r="I64" s="172"/>
      <c r="J64" s="172"/>
      <c r="K64" s="172"/>
      <c r="L64" s="172"/>
      <c r="N64" s="231"/>
      <c r="O64" s="100"/>
    </row>
    <row r="65" spans="2:15" x14ac:dyDescent="0.2">
      <c r="B65" s="225"/>
      <c r="C65" s="310"/>
      <c r="D65" s="178"/>
      <c r="E65" s="172"/>
      <c r="F65" s="172"/>
      <c r="G65" s="172"/>
      <c r="H65" s="172"/>
      <c r="I65" s="172"/>
      <c r="J65" s="172"/>
      <c r="K65" s="172"/>
      <c r="L65" s="172"/>
      <c r="N65" s="231"/>
      <c r="O65" s="100"/>
    </row>
    <row r="66" spans="2:15" x14ac:dyDescent="0.2">
      <c r="B66" s="225"/>
      <c r="C66" s="310"/>
      <c r="D66" s="179"/>
      <c r="E66" s="172"/>
      <c r="F66" s="172"/>
      <c r="G66" s="172"/>
      <c r="H66" s="172"/>
      <c r="I66" s="172"/>
      <c r="J66" s="172"/>
      <c r="K66" s="172"/>
      <c r="L66" s="172"/>
      <c r="N66" s="231"/>
      <c r="O66" s="100"/>
    </row>
    <row r="67" spans="2:15" x14ac:dyDescent="0.2">
      <c r="B67" s="226"/>
      <c r="C67" s="233"/>
      <c r="D67" s="233"/>
      <c r="E67" s="234"/>
      <c r="F67" s="234"/>
      <c r="G67" s="234"/>
      <c r="H67" s="234"/>
      <c r="I67" s="234"/>
      <c r="J67" s="234"/>
      <c r="K67" s="234"/>
      <c r="L67" s="234"/>
      <c r="M67" s="235"/>
      <c r="N67" s="232"/>
      <c r="O67" s="100"/>
    </row>
    <row r="68" spans="2:15" x14ac:dyDescent="0.2">
      <c r="B68" s="102" t="s">
        <v>280</v>
      </c>
      <c r="C68" s="102"/>
      <c r="D68" s="102"/>
      <c r="E68" s="102"/>
      <c r="F68" s="102"/>
      <c r="G68" s="102"/>
      <c r="H68" s="102"/>
      <c r="I68" s="102"/>
      <c r="J68" s="102"/>
      <c r="K68" s="102"/>
      <c r="L68" s="102"/>
      <c r="M68" s="102"/>
      <c r="N68" s="102"/>
      <c r="O68" s="103"/>
    </row>
    <row r="69" spans="2:15" x14ac:dyDescent="0.2">
      <c r="B69" s="146"/>
      <c r="C69" s="147"/>
      <c r="D69" s="147"/>
      <c r="E69" s="148"/>
      <c r="F69" s="148"/>
      <c r="G69" s="148"/>
      <c r="H69" s="148"/>
      <c r="I69" s="148"/>
      <c r="J69" s="148"/>
      <c r="K69" s="148"/>
      <c r="L69" s="148"/>
      <c r="M69" s="148"/>
      <c r="N69" s="148"/>
    </row>
    <row r="70" spans="2:15" x14ac:dyDescent="0.2">
      <c r="B70" s="146"/>
      <c r="C70" s="147"/>
      <c r="D70" s="147"/>
      <c r="E70" s="148"/>
      <c r="F70" s="149"/>
      <c r="G70" s="148"/>
      <c r="H70" s="148"/>
      <c r="I70" s="148"/>
      <c r="J70" s="148"/>
      <c r="K70" s="148"/>
      <c r="L70" s="148"/>
      <c r="M70" s="148"/>
      <c r="N70" s="148"/>
    </row>
    <row r="71" spans="2:15" x14ac:dyDescent="0.2">
      <c r="B71" s="146"/>
      <c r="C71" s="147"/>
      <c r="D71" s="147"/>
      <c r="E71" s="149"/>
      <c r="F71" s="149"/>
      <c r="G71" s="148"/>
      <c r="H71" s="148"/>
      <c r="I71" s="148"/>
      <c r="J71" s="148"/>
      <c r="K71" s="148"/>
      <c r="L71" s="148"/>
      <c r="M71" s="148"/>
      <c r="N71" s="148"/>
    </row>
    <row r="72" spans="2:15" x14ac:dyDescent="0.2">
      <c r="B72" s="146"/>
      <c r="C72" s="147"/>
      <c r="D72" s="147"/>
      <c r="E72" s="148"/>
      <c r="F72" s="149"/>
      <c r="G72" s="148"/>
      <c r="H72" s="148"/>
      <c r="I72" s="148"/>
      <c r="J72" s="148"/>
      <c r="K72" s="148"/>
      <c r="L72" s="148"/>
      <c r="M72" s="148"/>
      <c r="N72" s="148"/>
    </row>
    <row r="73" spans="2:15" x14ac:dyDescent="0.2">
      <c r="B73" s="146"/>
      <c r="C73" s="147"/>
      <c r="D73" s="147"/>
      <c r="E73" s="148"/>
      <c r="F73" s="148"/>
      <c r="G73" s="148"/>
      <c r="H73" s="148"/>
      <c r="I73" s="148"/>
      <c r="J73" s="148"/>
      <c r="K73" s="148"/>
      <c r="L73" s="148"/>
      <c r="M73" s="148"/>
      <c r="N73" s="148"/>
    </row>
    <row r="74" spans="2:15" x14ac:dyDescent="0.2">
      <c r="B74" s="148"/>
      <c r="C74" s="148"/>
      <c r="D74" s="148"/>
      <c r="E74" s="148"/>
      <c r="F74" s="148"/>
      <c r="G74" s="148"/>
      <c r="H74" s="148"/>
      <c r="I74" s="148"/>
      <c r="J74" s="149"/>
      <c r="K74" s="148"/>
      <c r="L74" s="148"/>
      <c r="M74" s="148"/>
      <c r="N74" s="148"/>
    </row>
    <row r="75" spans="2:15" x14ac:dyDescent="0.2">
      <c r="B75" s="148"/>
      <c r="C75" s="148"/>
      <c r="D75" s="148"/>
      <c r="E75" s="148"/>
      <c r="F75" s="148"/>
      <c r="G75" s="148"/>
      <c r="H75" s="148"/>
      <c r="I75" s="148"/>
      <c r="J75" s="148"/>
      <c r="K75" s="148"/>
      <c r="L75" s="148"/>
      <c r="M75" s="148"/>
      <c r="N75" s="148"/>
    </row>
    <row r="76" spans="2:15" x14ac:dyDescent="0.2">
      <c r="B76" s="148"/>
      <c r="C76" s="148"/>
      <c r="D76" s="148"/>
      <c r="E76" s="148"/>
      <c r="F76" s="148"/>
      <c r="G76" s="148"/>
      <c r="H76" s="148"/>
      <c r="I76" s="148"/>
      <c r="J76" s="148"/>
      <c r="K76" s="148"/>
      <c r="L76" s="148"/>
      <c r="M76" s="148"/>
      <c r="N76" s="148"/>
    </row>
    <row r="77" spans="2:15" x14ac:dyDescent="0.2">
      <c r="B77" s="148"/>
      <c r="C77" s="148"/>
      <c r="D77" s="148"/>
      <c r="E77" s="148"/>
      <c r="F77" s="148"/>
      <c r="G77" s="148"/>
      <c r="H77" s="148"/>
      <c r="I77" s="148"/>
      <c r="J77" s="148"/>
      <c r="K77" s="148"/>
      <c r="L77" s="148"/>
      <c r="M77" s="148"/>
      <c r="N77" s="148"/>
    </row>
    <row r="78" spans="2:15" x14ac:dyDescent="0.2">
      <c r="B78" s="148"/>
      <c r="C78" s="148"/>
      <c r="D78" s="148"/>
      <c r="E78" s="148"/>
      <c r="F78" s="148"/>
      <c r="G78" s="148"/>
      <c r="H78" s="148"/>
      <c r="I78" s="148"/>
      <c r="J78" s="148"/>
      <c r="K78" s="148"/>
      <c r="L78" s="148"/>
      <c r="M78" s="148"/>
      <c r="N78" s="148"/>
    </row>
    <row r="79" spans="2:15" x14ac:dyDescent="0.2">
      <c r="B79" s="148"/>
      <c r="C79" s="148"/>
      <c r="D79" s="148"/>
      <c r="E79" s="148"/>
      <c r="F79" s="148"/>
      <c r="G79" s="148"/>
      <c r="H79" s="148"/>
      <c r="I79" s="148"/>
      <c r="J79" s="148"/>
      <c r="K79" s="148"/>
      <c r="L79" s="148"/>
      <c r="M79" s="148"/>
      <c r="N79" s="148"/>
    </row>
    <row r="80" spans="2:15" x14ac:dyDescent="0.2">
      <c r="B80" s="148"/>
      <c r="C80" s="148"/>
      <c r="D80" s="148"/>
      <c r="E80" s="148"/>
      <c r="F80" s="148"/>
      <c r="G80" s="148"/>
      <c r="H80" s="148"/>
      <c r="I80" s="148"/>
      <c r="J80" s="148"/>
      <c r="K80" s="148"/>
      <c r="L80" s="148"/>
      <c r="M80" s="148"/>
      <c r="N80" s="148"/>
    </row>
    <row r="81" spans="2:14" x14ac:dyDescent="0.2">
      <c r="B81" s="148"/>
      <c r="C81" s="148"/>
      <c r="D81" s="148"/>
      <c r="E81" s="148"/>
      <c r="F81" s="148"/>
      <c r="G81" s="148"/>
      <c r="H81" s="148"/>
      <c r="I81" s="148"/>
      <c r="J81" s="148"/>
      <c r="K81" s="148"/>
      <c r="L81" s="148"/>
      <c r="M81" s="148"/>
      <c r="N81" s="148"/>
    </row>
    <row r="82" spans="2:14" x14ac:dyDescent="0.2">
      <c r="B82" s="148"/>
      <c r="C82" s="148"/>
      <c r="D82" s="148"/>
      <c r="E82" s="148"/>
      <c r="F82" s="148"/>
      <c r="G82" s="148"/>
      <c r="H82" s="148"/>
      <c r="I82" s="148"/>
      <c r="J82" s="148"/>
      <c r="K82" s="148"/>
      <c r="L82" s="148"/>
      <c r="M82" s="148"/>
      <c r="N82" s="148"/>
    </row>
    <row r="83" spans="2:14" x14ac:dyDescent="0.2">
      <c r="B83" s="148"/>
      <c r="C83" s="148"/>
      <c r="D83" s="148"/>
      <c r="E83" s="148"/>
      <c r="F83" s="148"/>
      <c r="G83" s="148"/>
      <c r="H83" s="148"/>
      <c r="I83" s="148"/>
      <c r="J83" s="148"/>
      <c r="K83" s="148"/>
      <c r="L83" s="148"/>
      <c r="M83" s="148"/>
      <c r="N83" s="148"/>
    </row>
    <row r="84" spans="2:14" x14ac:dyDescent="0.2">
      <c r="B84" s="148"/>
      <c r="C84" s="148"/>
      <c r="D84" s="148"/>
      <c r="E84" s="148"/>
      <c r="F84" s="148"/>
      <c r="G84" s="148"/>
      <c r="H84" s="148"/>
      <c r="I84" s="148"/>
      <c r="J84" s="148"/>
      <c r="K84" s="148"/>
      <c r="L84" s="148"/>
      <c r="M84" s="148"/>
      <c r="N84" s="148"/>
    </row>
    <row r="85" spans="2:14" x14ac:dyDescent="0.2">
      <c r="B85" s="148"/>
      <c r="C85" s="148"/>
      <c r="D85" s="148"/>
      <c r="E85" s="148"/>
      <c r="F85" s="148"/>
      <c r="G85" s="148"/>
      <c r="H85" s="148"/>
      <c r="I85" s="148"/>
      <c r="J85" s="148"/>
      <c r="K85" s="148"/>
      <c r="L85" s="148"/>
      <c r="M85" s="148"/>
      <c r="N85" s="148"/>
    </row>
    <row r="86" spans="2:14" x14ac:dyDescent="0.2">
      <c r="B86" s="148"/>
      <c r="C86" s="148"/>
      <c r="D86" s="148"/>
      <c r="E86" s="148"/>
      <c r="F86" s="148"/>
      <c r="G86" s="148"/>
      <c r="H86" s="148"/>
      <c r="I86" s="148"/>
      <c r="J86" s="148"/>
      <c r="K86" s="148"/>
      <c r="L86" s="148"/>
      <c r="M86" s="148"/>
      <c r="N86" s="148"/>
    </row>
    <row r="87" spans="2:14" x14ac:dyDescent="0.2">
      <c r="B87" s="148"/>
      <c r="C87" s="148"/>
      <c r="D87" s="148"/>
      <c r="E87" s="148"/>
      <c r="F87" s="148"/>
      <c r="G87" s="148"/>
      <c r="H87" s="148"/>
      <c r="I87" s="148"/>
      <c r="J87" s="148"/>
      <c r="K87" s="148"/>
      <c r="L87" s="148"/>
      <c r="M87" s="148"/>
      <c r="N87" s="148"/>
    </row>
    <row r="88" spans="2:14" x14ac:dyDescent="0.2">
      <c r="B88" s="148"/>
      <c r="C88" s="148"/>
      <c r="D88" s="148"/>
      <c r="E88" s="148"/>
      <c r="F88" s="148"/>
      <c r="G88" s="148"/>
      <c r="H88" s="148"/>
      <c r="I88" s="148"/>
      <c r="J88" s="148"/>
      <c r="K88" s="148"/>
      <c r="L88" s="148"/>
      <c r="M88" s="148"/>
      <c r="N88" s="148"/>
    </row>
    <row r="89" spans="2:14" x14ac:dyDescent="0.2">
      <c r="B89" s="148"/>
      <c r="C89" s="148"/>
      <c r="D89" s="148"/>
      <c r="E89" s="148"/>
      <c r="F89" s="148"/>
      <c r="G89" s="148"/>
      <c r="H89" s="148"/>
      <c r="I89" s="148"/>
      <c r="J89" s="148"/>
      <c r="K89" s="148"/>
      <c r="L89" s="148"/>
      <c r="M89" s="148"/>
      <c r="N89" s="148"/>
    </row>
    <row r="90" spans="2:14" x14ac:dyDescent="0.2">
      <c r="B90" s="148"/>
      <c r="C90" s="148"/>
      <c r="D90" s="148"/>
      <c r="E90" s="148"/>
      <c r="F90" s="148"/>
      <c r="G90" s="148"/>
      <c r="H90" s="148"/>
      <c r="I90" s="148"/>
      <c r="J90" s="148"/>
      <c r="K90" s="148"/>
      <c r="L90" s="148"/>
      <c r="M90" s="148"/>
      <c r="N90" s="148"/>
    </row>
    <row r="91" spans="2:14" x14ac:dyDescent="0.2">
      <c r="B91" s="148"/>
      <c r="C91" s="148"/>
      <c r="D91" s="148"/>
      <c r="E91" s="148"/>
      <c r="F91" s="148"/>
      <c r="G91" s="148"/>
      <c r="H91" s="148"/>
      <c r="I91" s="148"/>
      <c r="J91" s="148"/>
      <c r="K91" s="148"/>
      <c r="L91" s="148"/>
      <c r="M91" s="148"/>
      <c r="N91" s="148"/>
    </row>
    <row r="92" spans="2:14" x14ac:dyDescent="0.2">
      <c r="B92" s="148"/>
      <c r="C92" s="148"/>
      <c r="D92" s="148"/>
      <c r="E92" s="148"/>
      <c r="F92" s="148"/>
      <c r="G92" s="148"/>
      <c r="H92" s="148"/>
      <c r="I92" s="148"/>
      <c r="J92" s="148"/>
      <c r="K92" s="148"/>
      <c r="L92" s="148"/>
      <c r="M92" s="148"/>
      <c r="N92" s="148"/>
    </row>
    <row r="93" spans="2:14" x14ac:dyDescent="0.2">
      <c r="B93" s="148"/>
      <c r="C93" s="148"/>
      <c r="D93" s="148"/>
      <c r="E93" s="148"/>
      <c r="F93" s="148"/>
      <c r="G93" s="148"/>
      <c r="H93" s="148"/>
      <c r="I93" s="148"/>
      <c r="J93" s="148"/>
      <c r="K93" s="148"/>
      <c r="L93" s="148"/>
      <c r="M93" s="148"/>
      <c r="N93" s="148"/>
    </row>
    <row r="94" spans="2:14" x14ac:dyDescent="0.2">
      <c r="B94" s="148"/>
      <c r="C94" s="148"/>
      <c r="D94" s="148"/>
      <c r="E94" s="148"/>
      <c r="F94" s="148"/>
      <c r="G94" s="148"/>
      <c r="H94" s="148"/>
      <c r="I94" s="148"/>
      <c r="J94" s="148"/>
      <c r="K94" s="148"/>
      <c r="L94" s="148"/>
      <c r="M94" s="148"/>
      <c r="N94" s="148"/>
    </row>
    <row r="95" spans="2:14" x14ac:dyDescent="0.2">
      <c r="B95" s="148"/>
      <c r="C95" s="148"/>
      <c r="D95" s="148"/>
      <c r="E95" s="148"/>
      <c r="F95" s="148"/>
      <c r="G95" s="148"/>
      <c r="H95" s="148"/>
      <c r="I95" s="148"/>
      <c r="J95" s="148"/>
      <c r="K95" s="148"/>
      <c r="L95" s="148"/>
      <c r="M95" s="148"/>
      <c r="N95" s="148"/>
    </row>
    <row r="96" spans="2:14" x14ac:dyDescent="0.2">
      <c r="B96" s="148"/>
      <c r="C96" s="148"/>
      <c r="D96" s="148"/>
      <c r="E96" s="148"/>
      <c r="F96" s="148"/>
      <c r="G96" s="148"/>
      <c r="H96" s="148"/>
      <c r="I96" s="148"/>
      <c r="J96" s="148"/>
      <c r="K96" s="148"/>
      <c r="L96" s="148"/>
      <c r="M96" s="148"/>
      <c r="N96" s="148"/>
    </row>
    <row r="97" spans="2:14" x14ac:dyDescent="0.2">
      <c r="B97" s="148"/>
      <c r="C97" s="148"/>
      <c r="D97" s="148"/>
      <c r="E97" s="148"/>
      <c r="F97" s="148"/>
      <c r="G97" s="148"/>
      <c r="H97" s="148"/>
      <c r="I97" s="148"/>
      <c r="J97" s="148"/>
      <c r="K97" s="148"/>
      <c r="L97" s="148"/>
      <c r="M97" s="148"/>
      <c r="N97" s="148"/>
    </row>
    <row r="98" spans="2:14" x14ac:dyDescent="0.2">
      <c r="B98" s="148"/>
      <c r="C98" s="148"/>
      <c r="D98" s="148"/>
      <c r="E98" s="148"/>
      <c r="F98" s="148"/>
      <c r="G98" s="148"/>
      <c r="H98" s="148"/>
      <c r="I98" s="148"/>
      <c r="J98" s="148"/>
      <c r="K98" s="148"/>
      <c r="L98" s="148"/>
      <c r="M98" s="148"/>
      <c r="N98" s="148"/>
    </row>
    <row r="99" spans="2:14" x14ac:dyDescent="0.2">
      <c r="B99" s="148"/>
      <c r="C99" s="148"/>
      <c r="D99" s="148"/>
      <c r="E99" s="148"/>
      <c r="F99" s="148"/>
      <c r="G99" s="148"/>
      <c r="H99" s="148"/>
      <c r="I99" s="148"/>
      <c r="J99" s="148"/>
      <c r="K99" s="148"/>
      <c r="L99" s="148"/>
      <c r="M99" s="148"/>
      <c r="N99" s="148"/>
    </row>
    <row r="100" spans="2:14" x14ac:dyDescent="0.2">
      <c r="B100" s="148"/>
      <c r="C100" s="148"/>
      <c r="D100" s="148"/>
      <c r="E100" s="148"/>
      <c r="F100" s="148"/>
      <c r="G100" s="148"/>
      <c r="H100" s="148"/>
      <c r="I100" s="148"/>
      <c r="J100" s="148"/>
      <c r="K100" s="148"/>
      <c r="L100" s="148"/>
      <c r="M100" s="148"/>
      <c r="N100" s="148"/>
    </row>
    <row r="101" spans="2:14" x14ac:dyDescent="0.2">
      <c r="B101" s="148"/>
      <c r="C101" s="148"/>
      <c r="D101" s="148"/>
      <c r="E101" s="148"/>
      <c r="F101" s="148"/>
      <c r="G101" s="148"/>
      <c r="H101" s="148"/>
      <c r="I101" s="148"/>
      <c r="J101" s="148"/>
      <c r="K101" s="148"/>
      <c r="L101" s="148"/>
      <c r="M101" s="148"/>
      <c r="N101" s="148"/>
    </row>
    <row r="102" spans="2:14" x14ac:dyDescent="0.2">
      <c r="B102" s="148"/>
      <c r="C102" s="148"/>
      <c r="D102" s="148"/>
      <c r="E102" s="148"/>
      <c r="F102" s="148"/>
      <c r="G102" s="148"/>
      <c r="H102" s="148"/>
      <c r="I102" s="148"/>
      <c r="J102" s="148"/>
      <c r="K102" s="148"/>
      <c r="L102" s="148"/>
      <c r="M102" s="148"/>
      <c r="N102" s="148"/>
    </row>
    <row r="103" spans="2:14" x14ac:dyDescent="0.2">
      <c r="B103" s="148"/>
      <c r="C103" s="148"/>
      <c r="D103" s="148"/>
      <c r="E103" s="148"/>
      <c r="F103" s="148"/>
      <c r="G103" s="148"/>
      <c r="H103" s="148"/>
      <c r="I103" s="148"/>
      <c r="J103" s="148"/>
      <c r="K103" s="148"/>
      <c r="L103" s="148"/>
      <c r="M103" s="148"/>
      <c r="N103" s="148"/>
    </row>
    <row r="104" spans="2:14" x14ac:dyDescent="0.2">
      <c r="B104" s="148"/>
      <c r="C104" s="148"/>
      <c r="D104" s="148"/>
      <c r="E104" s="148"/>
      <c r="F104" s="148"/>
      <c r="G104" s="148"/>
      <c r="H104" s="148"/>
      <c r="I104" s="148"/>
      <c r="J104" s="148"/>
      <c r="K104" s="148"/>
      <c r="L104" s="148"/>
      <c r="M104" s="148"/>
      <c r="N104" s="148"/>
    </row>
    <row r="105" spans="2:14" x14ac:dyDescent="0.2">
      <c r="B105" s="148"/>
      <c r="C105" s="148"/>
      <c r="D105" s="148"/>
      <c r="E105" s="148"/>
      <c r="F105" s="148"/>
      <c r="G105" s="148"/>
      <c r="H105" s="148"/>
      <c r="I105" s="148"/>
      <c r="J105" s="148"/>
      <c r="K105" s="148"/>
      <c r="L105" s="148"/>
      <c r="M105" s="148"/>
      <c r="N105" s="148"/>
    </row>
    <row r="106" spans="2:14" x14ac:dyDescent="0.2">
      <c r="B106" s="148"/>
      <c r="C106" s="148"/>
      <c r="D106" s="148"/>
      <c r="E106" s="148"/>
      <c r="F106" s="148"/>
      <c r="G106" s="148"/>
      <c r="H106" s="148"/>
      <c r="I106" s="148"/>
      <c r="J106" s="148"/>
      <c r="K106" s="148"/>
      <c r="L106" s="148"/>
      <c r="M106" s="148"/>
      <c r="N106" s="148"/>
    </row>
    <row r="107" spans="2:14" x14ac:dyDescent="0.2">
      <c r="B107" s="148"/>
      <c r="C107" s="148"/>
      <c r="D107" s="148"/>
      <c r="E107" s="148"/>
      <c r="F107" s="148"/>
      <c r="G107" s="148"/>
      <c r="H107" s="148"/>
      <c r="I107" s="148"/>
      <c r="J107" s="148"/>
      <c r="K107" s="148"/>
      <c r="L107" s="148"/>
      <c r="M107" s="148"/>
      <c r="N107" s="148"/>
    </row>
    <row r="108" spans="2:14" x14ac:dyDescent="0.2">
      <c r="B108" s="148"/>
      <c r="C108" s="148"/>
      <c r="D108" s="148"/>
      <c r="E108" s="148"/>
      <c r="F108" s="148"/>
      <c r="G108" s="148"/>
      <c r="H108" s="148"/>
      <c r="I108" s="148"/>
      <c r="J108" s="148"/>
      <c r="K108" s="148"/>
      <c r="L108" s="148"/>
      <c r="M108" s="148"/>
      <c r="N108" s="148"/>
    </row>
    <row r="109" spans="2:14" x14ac:dyDescent="0.2">
      <c r="B109" s="148"/>
      <c r="C109" s="148"/>
      <c r="D109" s="148"/>
      <c r="E109" s="148"/>
      <c r="F109" s="148"/>
      <c r="G109" s="148"/>
      <c r="H109" s="148"/>
      <c r="I109" s="148"/>
      <c r="J109" s="148"/>
      <c r="K109" s="148"/>
      <c r="L109" s="148"/>
      <c r="M109" s="148"/>
      <c r="N109" s="148"/>
    </row>
    <row r="110" spans="2:14" x14ac:dyDescent="0.2">
      <c r="B110" s="148"/>
      <c r="C110" s="148"/>
      <c r="D110" s="148"/>
      <c r="E110" s="148"/>
      <c r="F110" s="148"/>
      <c r="G110" s="148"/>
      <c r="H110" s="148"/>
      <c r="I110" s="148"/>
      <c r="J110" s="148"/>
      <c r="K110" s="148"/>
      <c r="L110" s="148"/>
      <c r="M110" s="148"/>
      <c r="N110" s="148"/>
    </row>
    <row r="111" spans="2:14" x14ac:dyDescent="0.2">
      <c r="B111" s="148"/>
      <c r="C111" s="148"/>
      <c r="D111" s="148"/>
      <c r="E111" s="148"/>
      <c r="F111" s="148"/>
      <c r="G111" s="148"/>
      <c r="H111" s="148"/>
      <c r="I111" s="148"/>
      <c r="J111" s="148"/>
      <c r="K111" s="148"/>
      <c r="L111" s="148"/>
      <c r="M111" s="148"/>
      <c r="N111" s="148"/>
    </row>
    <row r="112" spans="2:14" x14ac:dyDescent="0.2">
      <c r="B112" s="148"/>
      <c r="C112" s="148"/>
      <c r="D112" s="148"/>
      <c r="E112" s="148"/>
      <c r="F112" s="148"/>
      <c r="G112" s="148"/>
      <c r="H112" s="148"/>
      <c r="I112" s="148"/>
      <c r="J112" s="148"/>
      <c r="K112" s="148"/>
      <c r="L112" s="148"/>
      <c r="M112" s="148"/>
      <c r="N112" s="148"/>
    </row>
    <row r="113" spans="2:14" x14ac:dyDescent="0.2">
      <c r="B113" s="148"/>
      <c r="C113" s="148"/>
      <c r="D113" s="148"/>
      <c r="E113" s="148"/>
      <c r="F113" s="148"/>
      <c r="G113" s="148"/>
      <c r="H113" s="148"/>
      <c r="I113" s="148"/>
      <c r="J113" s="148"/>
      <c r="K113" s="148"/>
      <c r="L113" s="148"/>
      <c r="M113" s="148"/>
      <c r="N113" s="148"/>
    </row>
    <row r="114" spans="2:14" x14ac:dyDescent="0.2">
      <c r="B114" s="148"/>
      <c r="C114" s="148"/>
      <c r="D114" s="148"/>
      <c r="E114" s="148"/>
      <c r="F114" s="148"/>
      <c r="G114" s="148"/>
      <c r="H114" s="148"/>
      <c r="I114" s="148"/>
      <c r="J114" s="148"/>
      <c r="K114" s="148"/>
      <c r="L114" s="148"/>
      <c r="M114" s="148"/>
      <c r="N114" s="148"/>
    </row>
    <row r="115" spans="2:14" x14ac:dyDescent="0.2">
      <c r="B115" s="148"/>
      <c r="C115" s="148"/>
      <c r="D115" s="148"/>
      <c r="E115" s="148"/>
      <c r="F115" s="148"/>
      <c r="G115" s="148"/>
      <c r="H115" s="148"/>
      <c r="I115" s="148"/>
      <c r="J115" s="148"/>
      <c r="K115" s="148"/>
      <c r="L115" s="148"/>
      <c r="M115" s="148"/>
      <c r="N115" s="148"/>
    </row>
    <row r="116" spans="2:14" x14ac:dyDescent="0.2">
      <c r="B116" s="148"/>
      <c r="C116" s="148"/>
      <c r="D116" s="148"/>
      <c r="E116" s="148"/>
      <c r="F116" s="148"/>
      <c r="G116" s="148"/>
      <c r="H116" s="148"/>
      <c r="I116" s="148"/>
      <c r="J116" s="148"/>
      <c r="K116" s="148"/>
      <c r="L116" s="148"/>
      <c r="M116" s="148"/>
      <c r="N116" s="148"/>
    </row>
    <row r="117" spans="2:14" x14ac:dyDescent="0.2">
      <c r="B117" s="148"/>
      <c r="C117" s="148"/>
      <c r="D117" s="148"/>
      <c r="E117" s="148"/>
      <c r="F117" s="148"/>
      <c r="G117" s="148"/>
      <c r="H117" s="148"/>
      <c r="I117" s="148"/>
      <c r="J117" s="148"/>
      <c r="K117" s="148"/>
      <c r="L117" s="148"/>
      <c r="M117" s="148"/>
      <c r="N117" s="148"/>
    </row>
    <row r="118" spans="2:14" x14ac:dyDescent="0.2">
      <c r="B118" s="148"/>
      <c r="C118" s="148"/>
      <c r="D118" s="148"/>
      <c r="E118" s="148"/>
      <c r="F118" s="148"/>
      <c r="G118" s="148"/>
      <c r="H118" s="148"/>
      <c r="I118" s="148"/>
      <c r="J118" s="148"/>
      <c r="K118" s="148"/>
      <c r="L118" s="148"/>
      <c r="M118" s="148"/>
      <c r="N118" s="148"/>
    </row>
    <row r="119" spans="2:14" x14ac:dyDescent="0.2">
      <c r="B119" s="148"/>
      <c r="C119" s="148"/>
      <c r="D119" s="148"/>
      <c r="E119" s="148"/>
      <c r="F119" s="148"/>
      <c r="G119" s="148"/>
      <c r="H119" s="148"/>
      <c r="I119" s="148"/>
      <c r="J119" s="148"/>
      <c r="K119" s="148"/>
      <c r="L119" s="148"/>
      <c r="M119" s="148"/>
      <c r="N119" s="148"/>
    </row>
    <row r="120" spans="2:14" x14ac:dyDescent="0.2">
      <c r="B120" s="148"/>
      <c r="C120" s="148"/>
      <c r="D120" s="148"/>
      <c r="E120" s="148"/>
      <c r="F120" s="148"/>
      <c r="G120" s="148"/>
      <c r="H120" s="148"/>
      <c r="I120" s="148"/>
      <c r="J120" s="148"/>
      <c r="K120" s="148"/>
      <c r="L120" s="148"/>
      <c r="M120" s="148"/>
      <c r="N120" s="148"/>
    </row>
    <row r="121" spans="2:14" x14ac:dyDescent="0.2">
      <c r="B121" s="148"/>
      <c r="C121" s="148"/>
      <c r="D121" s="148"/>
      <c r="E121" s="148"/>
      <c r="F121" s="148"/>
      <c r="G121" s="148"/>
      <c r="H121" s="148"/>
      <c r="I121" s="148"/>
      <c r="J121" s="148"/>
      <c r="K121" s="148"/>
      <c r="L121" s="148"/>
      <c r="M121" s="148"/>
      <c r="N121" s="148"/>
    </row>
    <row r="122" spans="2:14" x14ac:dyDescent="0.2">
      <c r="B122" s="148"/>
      <c r="C122" s="148"/>
      <c r="D122" s="148"/>
      <c r="E122" s="148"/>
      <c r="F122" s="148"/>
      <c r="G122" s="148"/>
      <c r="H122" s="148"/>
      <c r="I122" s="148"/>
      <c r="J122" s="148"/>
      <c r="K122" s="148"/>
      <c r="L122" s="148"/>
      <c r="M122" s="148"/>
      <c r="N122" s="148"/>
    </row>
    <row r="123" spans="2:14" x14ac:dyDescent="0.2">
      <c r="B123" s="148"/>
      <c r="C123" s="148"/>
      <c r="D123" s="148"/>
      <c r="E123" s="148"/>
      <c r="F123" s="148"/>
      <c r="G123" s="148"/>
      <c r="H123" s="148"/>
      <c r="I123" s="148"/>
      <c r="J123" s="148"/>
      <c r="K123" s="148"/>
      <c r="L123" s="148"/>
      <c r="M123" s="148"/>
      <c r="N123" s="148"/>
    </row>
    <row r="124" spans="2:14" x14ac:dyDescent="0.2">
      <c r="B124" s="148"/>
      <c r="C124" s="148"/>
      <c r="D124" s="148"/>
      <c r="E124" s="148"/>
      <c r="F124" s="148"/>
      <c r="G124" s="148"/>
      <c r="H124" s="148"/>
      <c r="I124" s="148"/>
      <c r="J124" s="148"/>
      <c r="K124" s="148"/>
      <c r="L124" s="148"/>
      <c r="M124" s="148"/>
      <c r="N124" s="148"/>
    </row>
    <row r="125" spans="2:14" x14ac:dyDescent="0.2">
      <c r="B125" s="148"/>
      <c r="C125" s="148"/>
      <c r="D125" s="148"/>
      <c r="E125" s="148"/>
      <c r="F125" s="148"/>
      <c r="G125" s="148"/>
      <c r="H125" s="148"/>
      <c r="I125" s="148"/>
      <c r="J125" s="148"/>
      <c r="K125" s="148"/>
      <c r="L125" s="148"/>
      <c r="M125" s="148"/>
      <c r="N125" s="148"/>
    </row>
    <row r="126" spans="2:14" x14ac:dyDescent="0.2">
      <c r="B126" s="148"/>
      <c r="C126" s="148"/>
      <c r="D126" s="148"/>
      <c r="E126" s="148"/>
      <c r="F126" s="148"/>
      <c r="G126" s="148"/>
      <c r="H126" s="148"/>
      <c r="I126" s="148"/>
      <c r="J126" s="148"/>
      <c r="K126" s="148"/>
      <c r="L126" s="148"/>
      <c r="M126" s="148"/>
      <c r="N126" s="148"/>
    </row>
    <row r="127" spans="2:14" x14ac:dyDescent="0.2">
      <c r="B127" s="148"/>
      <c r="C127" s="148"/>
      <c r="D127" s="148"/>
      <c r="E127" s="148"/>
      <c r="F127" s="148"/>
      <c r="G127" s="148"/>
      <c r="H127" s="148"/>
      <c r="I127" s="148"/>
      <c r="J127" s="148"/>
      <c r="K127" s="148"/>
      <c r="L127" s="148"/>
      <c r="M127" s="148"/>
      <c r="N127" s="148"/>
    </row>
    <row r="128" spans="2:14" x14ac:dyDescent="0.2">
      <c r="B128" s="148"/>
      <c r="C128" s="148"/>
      <c r="D128" s="148"/>
      <c r="E128" s="148"/>
      <c r="F128" s="148"/>
      <c r="G128" s="148"/>
      <c r="H128" s="148"/>
      <c r="I128" s="148"/>
      <c r="J128" s="148"/>
      <c r="K128" s="148"/>
      <c r="L128" s="148"/>
      <c r="M128" s="148"/>
      <c r="N128" s="148"/>
    </row>
    <row r="129" spans="2:14" x14ac:dyDescent="0.2">
      <c r="B129" s="148"/>
      <c r="C129" s="148"/>
      <c r="D129" s="148"/>
      <c r="E129" s="148"/>
      <c r="F129" s="148"/>
      <c r="G129" s="148"/>
      <c r="H129" s="148"/>
      <c r="I129" s="148"/>
      <c r="J129" s="148"/>
      <c r="K129" s="148"/>
      <c r="L129" s="148"/>
      <c r="M129" s="148"/>
      <c r="N129" s="148"/>
    </row>
    <row r="130" spans="2:14" x14ac:dyDescent="0.2">
      <c r="B130" s="148"/>
      <c r="C130" s="148"/>
      <c r="D130" s="148"/>
      <c r="E130" s="148"/>
      <c r="F130" s="148"/>
      <c r="G130" s="148"/>
      <c r="H130" s="148"/>
      <c r="I130" s="148"/>
      <c r="J130" s="148"/>
      <c r="K130" s="148"/>
      <c r="L130" s="148"/>
      <c r="M130" s="148"/>
      <c r="N130" s="148"/>
    </row>
    <row r="131" spans="2:14" x14ac:dyDescent="0.2">
      <c r="B131" s="148"/>
      <c r="C131" s="148"/>
      <c r="D131" s="148"/>
      <c r="E131" s="148"/>
      <c r="F131" s="148"/>
      <c r="G131" s="148"/>
      <c r="H131" s="148"/>
      <c r="I131" s="148"/>
      <c r="J131" s="148"/>
      <c r="K131" s="148"/>
      <c r="L131" s="148"/>
      <c r="M131" s="148"/>
      <c r="N131" s="148"/>
    </row>
    <row r="132" spans="2:14" x14ac:dyDescent="0.2">
      <c r="B132" s="148"/>
      <c r="C132" s="148"/>
      <c r="D132" s="148"/>
      <c r="E132" s="148"/>
      <c r="F132" s="148"/>
      <c r="G132" s="148"/>
      <c r="H132" s="148"/>
      <c r="I132" s="148"/>
      <c r="J132" s="148"/>
      <c r="K132" s="148"/>
      <c r="L132" s="148"/>
      <c r="M132" s="148"/>
      <c r="N132" s="148"/>
    </row>
    <row r="133" spans="2:14" x14ac:dyDescent="0.2">
      <c r="B133" s="148"/>
      <c r="C133" s="148"/>
      <c r="D133" s="148"/>
      <c r="E133" s="148"/>
      <c r="F133" s="148"/>
      <c r="G133" s="148"/>
      <c r="H133" s="148"/>
      <c r="I133" s="148"/>
      <c r="J133" s="148"/>
      <c r="K133" s="148"/>
      <c r="L133" s="148"/>
      <c r="M133" s="148"/>
      <c r="N133" s="148"/>
    </row>
    <row r="134" spans="2:14" x14ac:dyDescent="0.2">
      <c r="B134" s="148"/>
      <c r="C134" s="148"/>
      <c r="D134" s="148"/>
      <c r="E134" s="148"/>
      <c r="F134" s="148"/>
      <c r="G134" s="148"/>
      <c r="H134" s="148"/>
      <c r="I134" s="148"/>
      <c r="J134" s="148"/>
      <c r="K134" s="148"/>
      <c r="L134" s="148"/>
      <c r="M134" s="148"/>
      <c r="N134" s="148"/>
    </row>
    <row r="135" spans="2:14" x14ac:dyDescent="0.2">
      <c r="B135" s="148"/>
      <c r="C135" s="148"/>
      <c r="D135" s="148"/>
      <c r="E135" s="148"/>
      <c r="F135" s="148"/>
      <c r="G135" s="148"/>
      <c r="H135" s="148"/>
      <c r="I135" s="148"/>
      <c r="J135" s="148"/>
      <c r="K135" s="148"/>
      <c r="L135" s="148"/>
      <c r="M135" s="148"/>
      <c r="N135" s="148"/>
    </row>
    <row r="136" spans="2:14" x14ac:dyDescent="0.2">
      <c r="B136" s="148"/>
      <c r="C136" s="148"/>
      <c r="D136" s="148"/>
      <c r="E136" s="148"/>
      <c r="F136" s="148"/>
      <c r="G136" s="148"/>
      <c r="H136" s="148"/>
      <c r="I136" s="148"/>
      <c r="J136" s="148"/>
      <c r="K136" s="148"/>
      <c r="L136" s="148"/>
      <c r="M136" s="148"/>
      <c r="N136" s="148"/>
    </row>
    <row r="137" spans="2:14" x14ac:dyDescent="0.2">
      <c r="B137" s="148"/>
      <c r="C137" s="148"/>
      <c r="D137" s="148"/>
      <c r="E137" s="148"/>
      <c r="F137" s="148"/>
      <c r="G137" s="148"/>
      <c r="H137" s="148"/>
      <c r="I137" s="148"/>
      <c r="J137" s="148"/>
      <c r="K137" s="148"/>
      <c r="L137" s="148"/>
      <c r="M137" s="148"/>
      <c r="N137" s="148"/>
    </row>
    <row r="138" spans="2:14" x14ac:dyDescent="0.2">
      <c r="B138" s="148"/>
      <c r="C138" s="148"/>
      <c r="D138" s="148"/>
      <c r="E138" s="148"/>
      <c r="F138" s="148"/>
      <c r="G138" s="148"/>
      <c r="H138" s="148"/>
      <c r="I138" s="148"/>
      <c r="J138" s="148"/>
      <c r="K138" s="148"/>
      <c r="L138" s="148"/>
      <c r="M138" s="148"/>
      <c r="N138" s="148"/>
    </row>
    <row r="139" spans="2:14" x14ac:dyDescent="0.2">
      <c r="B139" s="148"/>
      <c r="C139" s="148"/>
      <c r="D139" s="148"/>
      <c r="E139" s="148"/>
      <c r="F139" s="148"/>
      <c r="G139" s="148"/>
      <c r="H139" s="148"/>
      <c r="I139" s="148"/>
      <c r="J139" s="148"/>
      <c r="K139" s="148"/>
      <c r="L139" s="148"/>
      <c r="M139" s="148"/>
      <c r="N139" s="148"/>
    </row>
    <row r="140" spans="2:14" x14ac:dyDescent="0.2">
      <c r="B140" s="148"/>
      <c r="C140" s="148"/>
      <c r="D140" s="148"/>
      <c r="E140" s="148"/>
      <c r="F140" s="148"/>
      <c r="G140" s="148"/>
      <c r="H140" s="148"/>
      <c r="I140" s="148"/>
      <c r="J140" s="148"/>
      <c r="K140" s="148"/>
      <c r="L140" s="148"/>
      <c r="M140" s="148"/>
      <c r="N140" s="148"/>
    </row>
    <row r="141" spans="2:14" x14ac:dyDescent="0.2">
      <c r="B141" s="148"/>
      <c r="C141" s="148"/>
      <c r="D141" s="148"/>
      <c r="E141" s="148"/>
      <c r="F141" s="148"/>
      <c r="G141" s="148"/>
      <c r="H141" s="148"/>
      <c r="I141" s="148"/>
      <c r="J141" s="148"/>
      <c r="K141" s="148"/>
      <c r="L141" s="148"/>
      <c r="M141" s="148"/>
      <c r="N141" s="148"/>
    </row>
    <row r="142" spans="2:14" x14ac:dyDescent="0.2">
      <c r="B142" s="148"/>
      <c r="C142" s="148"/>
      <c r="D142" s="148"/>
      <c r="E142" s="148"/>
      <c r="F142" s="148"/>
      <c r="G142" s="148"/>
      <c r="H142" s="148"/>
      <c r="I142" s="148"/>
      <c r="J142" s="148"/>
      <c r="K142" s="148"/>
      <c r="L142" s="148"/>
      <c r="M142" s="148"/>
      <c r="N142" s="148"/>
    </row>
    <row r="143" spans="2:14" x14ac:dyDescent="0.2">
      <c r="B143" s="148"/>
      <c r="C143" s="148"/>
      <c r="D143" s="148"/>
      <c r="E143" s="148"/>
      <c r="F143" s="148"/>
      <c r="G143" s="148"/>
      <c r="H143" s="148"/>
      <c r="I143" s="148"/>
      <c r="J143" s="148"/>
      <c r="K143" s="148"/>
      <c r="L143" s="148"/>
      <c r="M143" s="148"/>
      <c r="N143" s="148"/>
    </row>
    <row r="144" spans="2:14" x14ac:dyDescent="0.2">
      <c r="B144" s="148"/>
      <c r="C144" s="148"/>
      <c r="D144" s="148"/>
      <c r="E144" s="148"/>
      <c r="F144" s="148"/>
      <c r="G144" s="148"/>
      <c r="H144" s="148"/>
      <c r="I144" s="148"/>
      <c r="J144" s="148"/>
      <c r="K144" s="148"/>
      <c r="L144" s="148"/>
      <c r="M144" s="148"/>
      <c r="N144" s="148"/>
    </row>
    <row r="145" spans="2:14" x14ac:dyDescent="0.2">
      <c r="B145" s="148"/>
      <c r="C145" s="148"/>
      <c r="D145" s="148"/>
      <c r="E145" s="148"/>
      <c r="F145" s="148"/>
      <c r="G145" s="148"/>
      <c r="H145" s="148"/>
      <c r="I145" s="148"/>
      <c r="J145" s="148"/>
      <c r="K145" s="148"/>
      <c r="L145" s="148"/>
      <c r="M145" s="148"/>
      <c r="N145" s="148"/>
    </row>
    <row r="146" spans="2:14" x14ac:dyDescent="0.2">
      <c r="B146" s="148"/>
      <c r="C146" s="148"/>
      <c r="D146" s="148"/>
      <c r="E146" s="148"/>
      <c r="F146" s="148"/>
      <c r="G146" s="148"/>
      <c r="H146" s="148"/>
      <c r="I146" s="148"/>
      <c r="J146" s="148"/>
      <c r="K146" s="148"/>
      <c r="L146" s="148"/>
      <c r="M146" s="148"/>
      <c r="N146" s="148"/>
    </row>
    <row r="147" spans="2:14" x14ac:dyDescent="0.2">
      <c r="B147" s="148"/>
      <c r="C147" s="148"/>
      <c r="D147" s="148"/>
      <c r="E147" s="148"/>
      <c r="F147" s="148"/>
      <c r="G147" s="148"/>
      <c r="H147" s="148"/>
      <c r="I147" s="148"/>
      <c r="J147" s="148"/>
      <c r="K147" s="148"/>
      <c r="L147" s="148"/>
      <c r="M147" s="148"/>
      <c r="N147" s="148"/>
    </row>
    <row r="148" spans="2:14" x14ac:dyDescent="0.2">
      <c r="B148" s="148"/>
      <c r="C148" s="148"/>
      <c r="D148" s="148"/>
      <c r="E148" s="148"/>
      <c r="F148" s="148"/>
      <c r="G148" s="148"/>
      <c r="H148" s="148"/>
      <c r="I148" s="148"/>
      <c r="J148" s="148"/>
      <c r="K148" s="148"/>
      <c r="L148" s="148"/>
      <c r="M148" s="148"/>
      <c r="N148" s="148"/>
    </row>
    <row r="149" spans="2:14" x14ac:dyDescent="0.2">
      <c r="B149" s="148"/>
      <c r="C149" s="148"/>
      <c r="D149" s="148"/>
      <c r="E149" s="148"/>
      <c r="F149" s="148"/>
      <c r="G149" s="148"/>
      <c r="H149" s="148"/>
      <c r="I149" s="148"/>
      <c r="J149" s="148"/>
      <c r="K149" s="148"/>
      <c r="L149" s="148"/>
      <c r="M149" s="148"/>
      <c r="N149" s="148"/>
    </row>
    <row r="150" spans="2:14" x14ac:dyDescent="0.2">
      <c r="B150" s="148"/>
      <c r="C150" s="148"/>
      <c r="D150" s="148"/>
      <c r="E150" s="148"/>
      <c r="F150" s="148"/>
      <c r="G150" s="148"/>
      <c r="H150" s="148"/>
      <c r="I150" s="148"/>
      <c r="J150" s="148"/>
      <c r="K150" s="148"/>
      <c r="L150" s="148"/>
      <c r="M150" s="148"/>
      <c r="N150" s="148"/>
    </row>
    <row r="151" spans="2:14" x14ac:dyDescent="0.2">
      <c r="B151" s="148"/>
      <c r="C151" s="148"/>
      <c r="D151" s="148"/>
      <c r="E151" s="148"/>
      <c r="F151" s="148"/>
      <c r="G151" s="148"/>
      <c r="H151" s="148"/>
      <c r="I151" s="148"/>
      <c r="J151" s="148"/>
      <c r="K151" s="148"/>
      <c r="L151" s="148"/>
      <c r="M151" s="148"/>
      <c r="N151" s="148"/>
    </row>
    <row r="152" spans="2:14" x14ac:dyDescent="0.2">
      <c r="B152" s="148"/>
      <c r="C152" s="148"/>
      <c r="D152" s="148"/>
      <c r="E152" s="148"/>
      <c r="F152" s="148"/>
      <c r="G152" s="148"/>
      <c r="H152" s="148"/>
      <c r="I152" s="148"/>
      <c r="J152" s="148"/>
      <c r="K152" s="148"/>
      <c r="L152" s="148"/>
      <c r="M152" s="148"/>
      <c r="N152" s="148"/>
    </row>
    <row r="153" spans="2:14" x14ac:dyDescent="0.2">
      <c r="B153" s="148"/>
      <c r="C153" s="148"/>
      <c r="D153" s="148"/>
      <c r="E153" s="148"/>
      <c r="F153" s="148"/>
      <c r="G153" s="148"/>
      <c r="H153" s="148"/>
      <c r="I153" s="148"/>
      <c r="J153" s="148"/>
      <c r="K153" s="148"/>
      <c r="L153" s="148"/>
      <c r="M153" s="148"/>
      <c r="N153" s="148"/>
    </row>
  </sheetData>
  <protectedRanges>
    <protectedRange sqref="K9:K10" name="Date_Forecast_Received_1"/>
    <protectedRange sqref="K18" name="Confidence in Assumptions"/>
    <protectedRange sqref="I9:I10" name="Forecast_Projection_Data_Type"/>
    <protectedRange sqref="M5" name="Date_of_Report"/>
    <protectedRange sqref="G6:G7 G9:G10" name="Years_Actual_or_Budget_or_Forecast_or_Projection"/>
    <protectedRange sqref="E6:E7 E9:E10" name="Selection_of_years"/>
    <protectedRange sqref="E4" name="InstitutionName"/>
    <protectedRange sqref="B62:N67" name="Comments_withinSheet"/>
    <protectedRange sqref="B69:N153" name="Comments Below Sheet"/>
  </protectedRanges>
  <mergeCells count="20">
    <mergeCell ref="K57:L57"/>
    <mergeCell ref="K58:L58"/>
    <mergeCell ref="K59:L59"/>
    <mergeCell ref="J35:K35"/>
    <mergeCell ref="J36:K36"/>
    <mergeCell ref="J37:K37"/>
    <mergeCell ref="E4:H4"/>
    <mergeCell ref="J24:K24"/>
    <mergeCell ref="J25:K25"/>
    <mergeCell ref="J26:K26"/>
    <mergeCell ref="J27:K27"/>
    <mergeCell ref="J28:K28"/>
    <mergeCell ref="J29:K29"/>
    <mergeCell ref="I7:I8"/>
    <mergeCell ref="K7:K8"/>
    <mergeCell ref="J38:K38"/>
    <mergeCell ref="J39:K39"/>
    <mergeCell ref="J30:K30"/>
    <mergeCell ref="J33:K33"/>
    <mergeCell ref="J34:K34"/>
  </mergeCells>
  <phoneticPr fontId="21" type="noConversion"/>
  <conditionalFormatting sqref="M57:M59 K57:K59">
    <cfRule type="cellIs" dxfId="2" priority="16" stopIfTrue="1" operator="equal">
      <formula>"High Risk"</formula>
    </cfRule>
    <cfRule type="cellIs" dxfId="1" priority="17" stopIfTrue="1" operator="equal">
      <formula>"Moderate Risk"</formula>
    </cfRule>
    <cfRule type="cellIs" dxfId="0" priority="18" stopIfTrue="1" operator="equal">
      <formula>"Low Risk"</formula>
    </cfRule>
  </conditionalFormatting>
  <dataValidations count="5">
    <dataValidation type="list" allowBlank="1" showInputMessage="1" showErrorMessage="1" promptTitle="Input Options" prompt="Actual, Budget, Forecast, Reforecast, Projection" sqref="G6:G7">
      <formula1>$T$15:$T$19</formula1>
    </dataValidation>
    <dataValidation type="list" allowBlank="1" showInputMessage="1" showErrorMessage="1" promptTitle="Input Options" prompt="Actual, Budget, Forecast Reforecast or Projection" sqref="G10">
      <formula1>$T$15:$T$19</formula1>
    </dataValidation>
    <dataValidation type="list" allowBlank="1" showInputMessage="1" showErrorMessage="1" promptTitle="Input Options" prompt="Actual, Budget, Forecast, Reforecast or Projection" sqref="G9">
      <formula1>$T$15:$T$19</formula1>
    </dataValidation>
    <dataValidation type="list" allowBlank="1" showInputMessage="1" showErrorMessage="1" sqref="I9:I10">
      <formula1>$W$15:$W$19</formula1>
    </dataValidation>
    <dataValidation type="list" allowBlank="1" showInputMessage="1" showErrorMessage="1" sqref="K18">
      <formula1>$T$23:$T$27</formula1>
    </dataValidation>
  </dataValidations>
  <pageMargins left="0.43307086614173229" right="0.39370078740157483" top="0.70866141732283472" bottom="0.74803149606299213" header="0.51181102362204722" footer="0.51181102362204722"/>
  <pageSetup paperSize="9" scale="71" orientation="portrait" r:id="rId1"/>
  <headerFooter alignWithMargins="0">
    <oddFooter>&amp;L&amp;9File: &amp;F, &amp;A&amp;R&amp;9Printed: &amp;D, &amp;T</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Cover</vt:lpstr>
      <vt:lpstr>Instructions on Usage</vt:lpstr>
      <vt:lpstr>Measure scoring</vt:lpstr>
      <vt:lpstr>Financials</vt:lpstr>
      <vt:lpstr>Calculations</vt:lpstr>
      <vt:lpstr>Var</vt:lpstr>
      <vt:lpstr>Report</vt:lpstr>
      <vt:lpstr>Calculations_EFTS_Entry</vt:lpstr>
      <vt:lpstr>Confidence</vt:lpstr>
      <vt:lpstr>Financial_Statements_of_TEI</vt:lpstr>
      <vt:lpstr>Flow_of_Information_in_Spreadsheet</vt:lpstr>
      <vt:lpstr>FMF_Instructions_and_Notes</vt:lpstr>
      <vt:lpstr>FMF_Report_Template</vt:lpstr>
      <vt:lpstr>FutureView</vt:lpstr>
      <vt:lpstr>HistoricalView</vt:lpstr>
      <vt:lpstr>How_the_spreadsheet_works</vt:lpstr>
      <vt:lpstr>Lookup_Table_FMF_Scores</vt:lpstr>
      <vt:lpstr>Non_Financial_Information</vt:lpstr>
      <vt:lpstr>Calculations!Print_Area</vt:lpstr>
      <vt:lpstr>Financials!Print_Area</vt:lpstr>
      <vt:lpstr>'Instructions on Usage'!Print_Area</vt:lpstr>
      <vt:lpstr>'Measure scoring'!Print_Area</vt:lpstr>
      <vt:lpstr>Report!Print_Area</vt:lpstr>
      <vt:lpstr>Quick_steps_to_using_spreadsheet</vt:lpstr>
      <vt:lpstr>Statement_of_Cash_Flows</vt:lpstr>
      <vt:lpstr>Statement_of_Financial_Performance</vt:lpstr>
      <vt:lpstr>Statement_of_Financial_Position</vt:lpstr>
      <vt:lpstr>Sustainability_Metrics</vt:lpstr>
      <vt:lpstr>Updating_FMF_report</vt:lpstr>
      <vt:lpstr>Updating_the_Calculations_tab</vt:lpstr>
      <vt:lpstr>Updating_the_Financials_tab</vt:lpstr>
      <vt:lpstr>Version_Information</vt:lpstr>
      <vt:lpstr>Viability_Metrics</vt:lpstr>
    </vt:vector>
  </TitlesOfParts>
  <Company>Tertiary Education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Financial-Monitoring-Framework-example-Jul12</dc:title>
  <dc:subject>Teifm-financial-monitoring-framework-example</dc:subject>
  <dc:creator>Tertiary Education Commission</dc:creator>
  <cp:lastModifiedBy>Jacob Reid</cp:lastModifiedBy>
  <cp:lastPrinted>2012-01-16T22:38:06Z</cp:lastPrinted>
  <dcterms:created xsi:type="dcterms:W3CDTF">2009-11-04T23:07:10Z</dcterms:created>
  <dcterms:modified xsi:type="dcterms:W3CDTF">2016-09-27T22:53:07Z</dcterms:modified>
  <cp:category>forms, templates and guides</cp:category>
</cp:coreProperties>
</file>

<file path=docProps/custom.xml><?xml version="1.0" encoding="UTF-8" standalone="yes"?>
<Properties xmlns="http://schemas.openxmlformats.org/officeDocument/2006/custom-properties" xmlns:vt="http://schemas.openxmlformats.org/officeDocument/2006/docPropsVTypes"><property fmtid="{D5CDD505-2E9C-101B-9397-08002B2CF9AE}" pid="2" name="ystem]"><vt:filetime>2009-11-05T00:00:00Z</vt:filetime></property><property fmtid="{D5CDD505-2E9C-101B-9397-08002B2CF9AE}" pid="3" name="ial Year [system]"><vt:lpwstr>A517032</vt:lpwstr></property><property fmtid="{D5CDD505-2E9C-101B-9397-08002B2CF9AE}" pid="4" name="&#xA;&#xA;oObjective-Calendar Year [system]"><vt:lpwstr>No</vt:lpwstr></property><property fmtid="{D5CDD505-2E9C-101B-9397-08002B2CF9AE}" pid="5" name="[system]"><vt:lpwstr>Yes</vt:lpwstr></property><property fmtid="{D5CDD505-2E9C-101B-9397-08002B2CF9AE}" pid="6" name="j?j?ctive-DatePublished"><vt:filetime>2009-12-02T00:00:00Z</vt:filetime></property><property fmtid="{D5CDD505-2E9C-101B-9397-08002B2CF9AE}" pid="7" name="e-Title"><vt:lpwstr>A533922</vt:lpwstr></property><property fmtid="{D5CDD505-2E9C-101B-9397-08002B2CF9AE}" pid="8" name="e-Version"><vt:lpwstr>No</vt:lpwstr></property><property fmtid="{D5CDD505-2E9C-101B-9397-08002B2CF9AE}" pid="9" name="rsionComment"><vt:lpwstr>No</vt:lpwstr></property><property fmtid="{D5CDD505-2E9C-101B-9397-08002B2CF9AE}" pid="10" name="e-VersionNumber"><vt:lpwstr></vt:lpwstr></property><property fmtid="{D5CDD505-2E9C-101B-9397-08002B2CF9AE}" pid="11" name="e-FileNumber"><vt:filetime>2010-03-05T00:00:00Z</vt:filetime></property><property fmtid="{D5CDD505-2E9C-101B-9397-08002B2CF9AE}" pid="12" name="?Objective-Path"><vt:filetime>2010-02-10T00:00:00Z</vt:filetime></property><property fmtid="{D5CDD505-2E9C-101B-9397-08002B2CF9AE}" pid="13" name="Objective-Comment"><vt:lpwstr> </vt:lpwstr></property><property fmtid="{D5CDD505-2E9C-101B-9397-08002B2CF9AE}" pid="14" name="Objective-CreationStamp"><vt:filetime>2012-01-17T02:13:18Z</vt:filetime></property><property fmtid="{D5CDD505-2E9C-101B-9397-08002B2CF9AE}" pid="15" name="Objective-Id"><vt:lpwstr>A667182</vt:lpwstr></property><property fmtid="{D5CDD505-2E9C-101B-9397-08002B2CF9AE}" pid="16" name="Objective-IsApproved"><vt:bool>false</vt:bool></property><property fmtid="{D5CDD505-2E9C-101B-9397-08002B2CF9AE}" pid="17" name="Objective-IsPublished"><vt:bool>false</vt:bool></property><property fmtid="{D5CDD505-2E9C-101B-9397-08002B2CF9AE}" pid="18" name="Objective-DatePublished"><vt:lpwstr> </vt:lpwstr></property><property fmtid="{D5CDD505-2E9C-101B-9397-08002B2CF9AE}" pid="19" name="Objective-ModificationStamp"><vt:filetime>2012-07-17T01:23:52Z</vt:filetime></property><property fmtid="{D5CDD505-2E9C-101B-9397-08002B2CF9AE}" pid="20" name="Objective-Owner"><vt:lpwstr>Simon Litten</vt:lpwstr></property><property fmtid="{D5CDD505-2E9C-101B-9397-08002B2CF9AE}" pid="21" name="Objective-Path"><vt:lpwstr>Objective Global Folder:TEC Global Folder:Tertiary Education Organisations:Sector:TO-B- FINANCIAL MONITORING -NO-T:2011 General - Financial Monitoring:</vt:lpwstr></property><property fmtid="{D5CDD505-2E9C-101B-9397-08002B2CF9AE}" pid="22" name="Objective-Parent"><vt:lpwstr>2011 General - Financial Monitoring</vt:lpwstr></property><property fmtid="{D5CDD505-2E9C-101B-9397-08002B2CF9AE}" pid="23" name="Objective-State"><vt:lpwstr>Being Drafted</vt:lpwstr></property><property fmtid="{D5CDD505-2E9C-101B-9397-08002B2CF9AE}" pid="24" name="Objective-Title"><vt:lpwstr>FMF example for the Web</vt:lpwstr></property><property fmtid="{D5CDD505-2E9C-101B-9397-08002B2CF9AE}" pid="25" name="Objective-Version"><vt:lpwstr>1.4</vt:lpwstr></property><property fmtid="{D5CDD505-2E9C-101B-9397-08002B2CF9AE}" pid="26" name="Objective-VersionComment"><vt:lpwstr> </vt:lpwstr></property><property fmtid="{D5CDD505-2E9C-101B-9397-08002B2CF9AE}" pid="27" name="Objective-VersionNumber"><vt:i4>7</vt:i4></property><property fmtid="{D5CDD505-2E9C-101B-9397-08002B2CF9AE}" pid="28" name="Objective-FileNumber"><vt:lpwstr> </vt:lpwstr></property><property fmtid="{D5CDD505-2E9C-101B-9397-08002B2CF9AE}" pid="29" name="Objective-Classification"><vt:lpwstr>Not classified</vt:lpwstr></property><property fmtid="{D5CDD505-2E9C-101B-9397-08002B2CF9AE}" pid="30" name="Objective-Caveats"><vt:lpwstr> </vt:lpwstr></property><property fmtid="{D5CDD505-2E9C-101B-9397-08002B2CF9AE}" pid="31" name="Objective-Reference [system]"><vt:lpwstr> </vt:lpwstr></property><property fmtid="{D5CDD505-2E9C-101B-9397-08002B2CF9AE}" pid="32" name="Objective-Date [system]"><vt:lpwstr> </vt:lpwstr></property><property fmtid="{D5CDD505-2E9C-101B-9397-08002B2CF9AE}" pid="33" name="Objective-Action [system]"><vt:lpwstr> </vt:lpwstr></property><property fmtid="{D5CDD505-2E9C-101B-9397-08002B2CF9AE}" pid="34" name="Objective-Responsible [system]"><vt:lpwstr> </vt:lpwstr></property><property fmtid="{D5CDD505-2E9C-101B-9397-08002B2CF9AE}" pid="35" name="Objective-Financial Year [system]"><vt:lpwstr> </vt:lpwstr></property><property fmtid="{D5CDD505-2E9C-101B-9397-08002B2CF9AE}" pid="36" name="Objective-Calendar Year [system]"><vt:lpwstr> </vt:lpwstr></property></Properties>
</file>