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hidePivotFieldList="1" defaultThemeVersion="124226"/>
  <bookViews>
    <workbookView xWindow="120" yWindow="690" windowWidth="25035" windowHeight="11025" tabRatio="644"/>
  </bookViews>
  <sheets>
    <sheet name="Notes" sheetId="31" r:id="rId1"/>
    <sheet name="Table Index" sheetId="37" r:id="rId2"/>
    <sheet name="1.1" sheetId="1" r:id="rId3"/>
    <sheet name="1.2" sheetId="2" r:id="rId4"/>
    <sheet name="1.3" sheetId="7" r:id="rId5"/>
    <sheet name="1.4" sheetId="8" r:id="rId6"/>
    <sheet name="1.5" sheetId="9" r:id="rId7"/>
    <sheet name="1.6" sheetId="10" r:id="rId8"/>
    <sheet name="1.7" sheetId="12" r:id="rId9"/>
    <sheet name="1.8" sheetId="13" r:id="rId10"/>
    <sheet name="1.9" sheetId="14" r:id="rId11"/>
    <sheet name="2.0" sheetId="15" r:id="rId12"/>
    <sheet name="2.1" sheetId="17" r:id="rId13"/>
    <sheet name="2.2" sheetId="18" r:id="rId14"/>
    <sheet name="2.3" sheetId="20" r:id="rId15"/>
    <sheet name="2.4" sheetId="21" r:id="rId16"/>
    <sheet name="2.6" sheetId="46" r:id="rId17"/>
    <sheet name="2.5" sheetId="25" r:id="rId18"/>
    <sheet name="2.7" sheetId="43" r:id="rId19"/>
    <sheet name="2.8" sheetId="42" r:id="rId20"/>
    <sheet name="2.9" sheetId="44" r:id="rId21"/>
    <sheet name="3.0" sheetId="26" r:id="rId22"/>
    <sheet name="3.1" sheetId="28" r:id="rId23"/>
    <sheet name="3.2" sheetId="27" r:id="rId24"/>
    <sheet name="3.3" sheetId="29" r:id="rId25"/>
    <sheet name="3.4" sheetId="34" r:id="rId26"/>
    <sheet name="3.5" sheetId="30" r:id="rId27"/>
  </sheets>
  <externalReferences>
    <externalReference r:id="rId28"/>
    <externalReference r:id="rId29"/>
    <externalReference r:id="rId30"/>
    <externalReference r:id="rId31"/>
    <externalReference r:id="rId32"/>
  </externalReferences>
  <definedNames>
    <definedName name="_xlnm._FilterDatabase" localSheetId="10" hidden="1">'1.9'!#REF!</definedName>
  </definedNames>
  <calcPr calcId="145621"/>
</workbook>
</file>

<file path=xl/calcChain.xml><?xml version="1.0" encoding="utf-8"?>
<calcChain xmlns="http://schemas.openxmlformats.org/spreadsheetml/2006/main">
  <c r="B5" i="2" l="1"/>
  <c r="B6" i="2"/>
  <c r="B7" i="2"/>
  <c r="B8" i="2"/>
  <c r="B9" i="2"/>
  <c r="B10" i="2"/>
  <c r="B11" i="2"/>
  <c r="B12" i="2"/>
  <c r="B13" i="2"/>
  <c r="B14" i="2"/>
  <c r="B15" i="2"/>
  <c r="B16" i="2"/>
  <c r="B18" i="2"/>
  <c r="B19" i="2"/>
  <c r="B21" i="2"/>
  <c r="B22" i="2"/>
  <c r="B23" i="2"/>
  <c r="B25" i="2"/>
  <c r="B17" i="2"/>
  <c r="B20" i="2"/>
  <c r="B24" i="2"/>
  <c r="B26" i="2"/>
  <c r="B27" i="2"/>
  <c r="B28" i="2"/>
  <c r="B29" i="2"/>
  <c r="B30" i="2"/>
  <c r="B31" i="2"/>
  <c r="F5" i="20"/>
  <c r="B5" i="20"/>
  <c r="F6" i="20"/>
  <c r="B6" i="20" s="1"/>
  <c r="F7" i="20"/>
  <c r="B7" i="20" s="1"/>
  <c r="F8" i="20"/>
  <c r="B8" i="20" s="1"/>
  <c r="F9" i="20"/>
  <c r="B9" i="20" s="1"/>
  <c r="F10" i="20"/>
  <c r="B10" i="20" s="1"/>
  <c r="F11" i="20"/>
  <c r="B11" i="20"/>
  <c r="F12" i="20"/>
  <c r="B12" i="20" s="1"/>
  <c r="F13" i="20"/>
  <c r="B13" i="20" s="1"/>
  <c r="F14" i="20"/>
  <c r="B14" i="20" s="1"/>
  <c r="F15" i="20"/>
  <c r="B15" i="20" s="1"/>
  <c r="F16" i="20"/>
  <c r="B16" i="20" s="1"/>
  <c r="F17" i="20"/>
  <c r="B17" i="20" s="1"/>
  <c r="F18" i="20"/>
  <c r="B18" i="20" s="1"/>
  <c r="F19" i="20"/>
  <c r="B19" i="20"/>
  <c r="F20" i="20"/>
  <c r="B20" i="20" s="1"/>
  <c r="F21" i="20"/>
  <c r="B21" i="20" s="1"/>
  <c r="F22" i="20"/>
  <c r="B22" i="20" s="1"/>
  <c r="F23" i="20"/>
  <c r="B23" i="20" s="1"/>
  <c r="D23" i="20" s="1"/>
  <c r="F24" i="20"/>
  <c r="B24" i="20" s="1"/>
  <c r="F25" i="20"/>
  <c r="B25" i="20" s="1"/>
  <c r="F26" i="20"/>
  <c r="B26" i="20" s="1"/>
  <c r="F27" i="20"/>
  <c r="B27" i="20"/>
  <c r="F28" i="20"/>
  <c r="B28" i="20" s="1"/>
  <c r="F29" i="20"/>
  <c r="B29" i="20" s="1"/>
  <c r="D29" i="20" s="1"/>
  <c r="F30" i="20"/>
  <c r="B30" i="20" s="1"/>
  <c r="F31" i="20"/>
  <c r="B31" i="20" s="1"/>
  <c r="F32" i="20"/>
  <c r="B28" i="15"/>
  <c r="B29" i="15"/>
  <c r="B30" i="15"/>
  <c r="B31" i="15"/>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5" i="18"/>
  <c r="B6" i="15"/>
  <c r="B7" i="15"/>
  <c r="B8" i="15"/>
  <c r="B9" i="15"/>
  <c r="B10" i="15"/>
  <c r="B11" i="15"/>
  <c r="B12" i="15"/>
  <c r="B13" i="15"/>
  <c r="B14" i="15"/>
  <c r="B15" i="15"/>
  <c r="B16" i="15"/>
  <c r="B17" i="15"/>
  <c r="B18" i="15"/>
  <c r="B19" i="15"/>
  <c r="B20" i="15"/>
  <c r="B21" i="15"/>
  <c r="B22" i="15"/>
  <c r="B23" i="15"/>
  <c r="B24" i="15"/>
  <c r="B25" i="15"/>
  <c r="B26" i="15"/>
  <c r="B27" i="15"/>
  <c r="B5" i="15"/>
  <c r="B28" i="13"/>
  <c r="D28" i="13"/>
  <c r="G5" i="14"/>
  <c r="F5" i="14" s="1"/>
  <c r="G6" i="14"/>
  <c r="F6" i="14" s="1"/>
  <c r="G7" i="14"/>
  <c r="F7" i="14" s="1"/>
  <c r="G8" i="14"/>
  <c r="F8" i="14" s="1"/>
  <c r="G9" i="14"/>
  <c r="F9" i="14" s="1"/>
  <c r="G10" i="14"/>
  <c r="F10" i="14" s="1"/>
  <c r="G11" i="14"/>
  <c r="F11" i="14" s="1"/>
  <c r="G12" i="14"/>
  <c r="F12" i="14" s="1"/>
  <c r="G13" i="14"/>
  <c r="F13" i="14" s="1"/>
  <c r="G23" i="14"/>
  <c r="F23" i="14" s="1"/>
  <c r="G17" i="14"/>
  <c r="F17" i="14" s="1"/>
  <c r="G14" i="14"/>
  <c r="F14" i="14" s="1"/>
  <c r="G15" i="14"/>
  <c r="F15" i="14" s="1"/>
  <c r="G20" i="14"/>
  <c r="F20" i="14" s="1"/>
  <c r="G22" i="14"/>
  <c r="F22" i="14" s="1"/>
  <c r="G21" i="14"/>
  <c r="F21" i="14" s="1"/>
  <c r="G18" i="14"/>
  <c r="F18" i="14" s="1"/>
  <c r="G19" i="14"/>
  <c r="F19" i="14" s="1"/>
  <c r="G25" i="14"/>
  <c r="F25" i="14" s="1"/>
  <c r="G16" i="14"/>
  <c r="F16" i="14" s="1"/>
  <c r="G26" i="14"/>
  <c r="G24" i="14"/>
  <c r="F24" i="14" s="1"/>
  <c r="G27" i="14"/>
  <c r="D19" i="14"/>
  <c r="B6" i="14"/>
  <c r="B7" i="14"/>
  <c r="B8" i="14"/>
  <c r="B9" i="14"/>
  <c r="B10" i="14"/>
  <c r="B11" i="14"/>
  <c r="B12" i="14"/>
  <c r="B13" i="14"/>
  <c r="B23" i="14"/>
  <c r="B17" i="14"/>
  <c r="B14" i="14"/>
  <c r="B15" i="14"/>
  <c r="B20" i="14"/>
  <c r="B22" i="14"/>
  <c r="B21" i="14"/>
  <c r="B18" i="14"/>
  <c r="B19" i="14"/>
  <c r="B25" i="14"/>
  <c r="B16" i="14"/>
  <c r="B26" i="14"/>
  <c r="B24" i="14"/>
  <c r="B27" i="14"/>
  <c r="B5" i="14"/>
  <c r="E27" i="13"/>
  <c r="C6" i="13"/>
  <c r="C7" i="13"/>
  <c r="C8" i="13"/>
  <c r="C9" i="13"/>
  <c r="C10" i="13"/>
  <c r="C11" i="13"/>
  <c r="C12" i="13"/>
  <c r="C13" i="13"/>
  <c r="C15" i="13"/>
  <c r="C18" i="13"/>
  <c r="C16" i="13"/>
  <c r="C14" i="13"/>
  <c r="C20" i="13"/>
  <c r="C21" i="13"/>
  <c r="C27" i="13"/>
  <c r="C23" i="13"/>
  <c r="C25" i="13"/>
  <c r="C17" i="13"/>
  <c r="C19" i="13"/>
  <c r="C5" i="13"/>
  <c r="G6" i="13"/>
  <c r="F6" i="13" s="1"/>
  <c r="G5" i="13"/>
  <c r="F5" i="13" s="1"/>
  <c r="G7" i="13"/>
  <c r="F7" i="13" s="1"/>
  <c r="G8" i="13"/>
  <c r="F8" i="13" s="1"/>
  <c r="G9" i="13"/>
  <c r="F9" i="13" s="1"/>
  <c r="G10" i="13"/>
  <c r="F10" i="13" s="1"/>
  <c r="D10" i="14" s="1"/>
  <c r="G11" i="13"/>
  <c r="F11" i="13" s="1"/>
  <c r="G12" i="13"/>
  <c r="F12" i="13" s="1"/>
  <c r="G13" i="13"/>
  <c r="F13" i="13" s="1"/>
  <c r="G15" i="13"/>
  <c r="F15" i="13" s="1"/>
  <c r="G18" i="13"/>
  <c r="F18" i="13" s="1"/>
  <c r="E18" i="13" s="1"/>
  <c r="G16" i="13"/>
  <c r="F16" i="13"/>
  <c r="G14" i="13"/>
  <c r="F14" i="13" s="1"/>
  <c r="G20" i="13"/>
  <c r="F20" i="13" s="1"/>
  <c r="G21" i="13"/>
  <c r="F21" i="13" s="1"/>
  <c r="G27" i="13"/>
  <c r="G23" i="13"/>
  <c r="F23" i="13" s="1"/>
  <c r="D18" i="14" s="1"/>
  <c r="C18" i="14" s="1"/>
  <c r="G25" i="13"/>
  <c r="F25" i="13" s="1"/>
  <c r="G17" i="13"/>
  <c r="F17" i="13" s="1"/>
  <c r="G19" i="13"/>
  <c r="F19" i="13" s="1"/>
  <c r="G26" i="13"/>
  <c r="F26" i="13" s="1"/>
  <c r="G24" i="13"/>
  <c r="F24" i="13" s="1"/>
  <c r="E24" i="13" s="1"/>
  <c r="G22" i="13"/>
  <c r="F22" i="13"/>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5" i="10"/>
  <c r="D6" i="1"/>
  <c r="C6" i="20" s="1"/>
  <c r="D7" i="1"/>
  <c r="D8" i="1"/>
  <c r="C7" i="18" s="1"/>
  <c r="D9" i="1"/>
  <c r="C9" i="20" s="1"/>
  <c r="D10" i="1"/>
  <c r="C10" i="18" s="1"/>
  <c r="D10" i="18" s="1"/>
  <c r="E10" i="18" s="1"/>
  <c r="D11" i="1"/>
  <c r="D12" i="1"/>
  <c r="C12" i="21" s="1"/>
  <c r="D13" i="1"/>
  <c r="C13" i="21" s="1"/>
  <c r="D14" i="1"/>
  <c r="C16" i="21" s="1"/>
  <c r="D15" i="1"/>
  <c r="D16" i="1"/>
  <c r="C19" i="20" s="1"/>
  <c r="D19" i="20" s="1"/>
  <c r="D17" i="1"/>
  <c r="C24" i="18"/>
  <c r="D18" i="1"/>
  <c r="C15" i="18" s="1"/>
  <c r="D15" i="18" s="1"/>
  <c r="E15" i="18" s="1"/>
  <c r="D19" i="1"/>
  <c r="D20" i="1"/>
  <c r="C17" i="21" s="1"/>
  <c r="D21" i="1"/>
  <c r="C23" i="20" s="1"/>
  <c r="D22" i="1"/>
  <c r="C29" i="20" s="1"/>
  <c r="D23" i="1"/>
  <c r="D24" i="1"/>
  <c r="C27" i="18" s="1"/>
  <c r="D27" i="18" s="1"/>
  <c r="D25" i="1"/>
  <c r="C18" i="18" s="1"/>
  <c r="D18" i="18" s="1"/>
  <c r="E18" i="18" s="1"/>
  <c r="D26" i="1"/>
  <c r="C28" i="18" s="1"/>
  <c r="D28" i="18" s="1"/>
  <c r="D27" i="1"/>
  <c r="D28" i="1"/>
  <c r="C30" i="20"/>
  <c r="D29" i="1"/>
  <c r="C26" i="20" s="1"/>
  <c r="D26" i="20" s="1"/>
  <c r="D30" i="1"/>
  <c r="C23" i="18"/>
  <c r="D31" i="1"/>
  <c r="D5" i="1"/>
  <c r="C5" i="20" s="1"/>
  <c r="B6" i="1"/>
  <c r="C6" i="12" s="1"/>
  <c r="B7" i="1"/>
  <c r="B8" i="1"/>
  <c r="C8" i="10" s="1"/>
  <c r="D8" i="10" s="1"/>
  <c r="E8" i="10" s="1"/>
  <c r="B9" i="1"/>
  <c r="C9" i="10"/>
  <c r="B10" i="1"/>
  <c r="C10" i="12" s="1"/>
  <c r="B11" i="1"/>
  <c r="C11" i="10" s="1"/>
  <c r="B12" i="1"/>
  <c r="C12" i="10" s="1"/>
  <c r="D12" i="10" s="1"/>
  <c r="E12" i="10" s="1"/>
  <c r="B13" i="1"/>
  <c r="C13" i="10"/>
  <c r="B14" i="1"/>
  <c r="C14" i="12" s="1"/>
  <c r="B15" i="1"/>
  <c r="B16" i="1"/>
  <c r="C15" i="12" s="1"/>
  <c r="B17" i="1"/>
  <c r="C16" i="12" s="1"/>
  <c r="B18" i="1"/>
  <c r="C21" i="12" s="1"/>
  <c r="B19" i="1"/>
  <c r="B20" i="1"/>
  <c r="C22" i="10" s="1"/>
  <c r="D22" i="10" s="1"/>
  <c r="E22" i="10" s="1"/>
  <c r="B21" i="1"/>
  <c r="C19" i="12" s="1"/>
  <c r="B22" i="1"/>
  <c r="B23" i="1"/>
  <c r="C20" i="10" s="1"/>
  <c r="B24" i="1"/>
  <c r="C24" i="10" s="1"/>
  <c r="D24" i="10" s="1"/>
  <c r="B25" i="1"/>
  <c r="C25" i="10" s="1"/>
  <c r="B26" i="1"/>
  <c r="C26" i="12" s="1"/>
  <c r="B27" i="1"/>
  <c r="C27" i="10" s="1"/>
  <c r="B28" i="1"/>
  <c r="C28" i="10" s="1"/>
  <c r="D28" i="10" s="1"/>
  <c r="E28" i="10" s="1"/>
  <c r="B29" i="1"/>
  <c r="C29" i="10" s="1"/>
  <c r="B30" i="1"/>
  <c r="C30" i="12" s="1"/>
  <c r="B31" i="1"/>
  <c r="B5" i="1"/>
  <c r="C5" i="10" s="1"/>
  <c r="D5" i="10" s="1"/>
  <c r="E5" i="10" s="1"/>
  <c r="F5" i="8"/>
  <c r="D5" i="8" s="1"/>
  <c r="F6" i="8"/>
  <c r="B6" i="8" s="1"/>
  <c r="F7" i="8"/>
  <c r="C7" i="8" s="1"/>
  <c r="E7" i="17" s="1"/>
  <c r="F8" i="8"/>
  <c r="D8" i="8" s="1"/>
  <c r="F9" i="8"/>
  <c r="F10" i="8"/>
  <c r="D10" i="8" s="1"/>
  <c r="F11" i="8"/>
  <c r="D11" i="8" s="1"/>
  <c r="E11" i="21" s="1"/>
  <c r="F12" i="8"/>
  <c r="B12" i="8"/>
  <c r="F13" i="8"/>
  <c r="B13" i="8"/>
  <c r="D13" i="12" s="1"/>
  <c r="F14" i="8"/>
  <c r="C14" i="8" s="1"/>
  <c r="E13" i="17" s="1"/>
  <c r="F15" i="8"/>
  <c r="D15" i="8" s="1"/>
  <c r="F16" i="8"/>
  <c r="D16" i="8" s="1"/>
  <c r="E15" i="21" s="1"/>
  <c r="F17" i="8"/>
  <c r="D17" i="8"/>
  <c r="E19" i="21" s="1"/>
  <c r="F18" i="8"/>
  <c r="D18" i="8" s="1"/>
  <c r="F19" i="8"/>
  <c r="F20" i="8"/>
  <c r="D20" i="8"/>
  <c r="E17" i="21" s="1"/>
  <c r="F21" i="8"/>
  <c r="F22" i="8"/>
  <c r="B22" i="8" s="1"/>
  <c r="F23" i="8"/>
  <c r="C23" i="8" s="1"/>
  <c r="F25" i="8"/>
  <c r="D25" i="8" s="1"/>
  <c r="E18" i="21" s="1"/>
  <c r="F24" i="8"/>
  <c r="C24" i="8" s="1"/>
  <c r="F26" i="8"/>
  <c r="B26" i="8" s="1"/>
  <c r="F28" i="8"/>
  <c r="C28" i="8" s="1"/>
  <c r="E30" i="17" s="1"/>
  <c r="F27" i="8"/>
  <c r="D27" i="8" s="1"/>
  <c r="F29" i="8"/>
  <c r="D29" i="8"/>
  <c r="F30" i="8"/>
  <c r="B30" i="8" s="1"/>
  <c r="F31" i="8"/>
  <c r="C31" i="8" s="1"/>
  <c r="E31" i="17" s="1"/>
  <c r="F32" i="7"/>
  <c r="F6" i="7"/>
  <c r="B6" i="7" s="1"/>
  <c r="F7" i="7"/>
  <c r="B7" i="7" s="1"/>
  <c r="F8" i="7"/>
  <c r="B8" i="7" s="1"/>
  <c r="F9" i="7"/>
  <c r="B9" i="7" s="1"/>
  <c r="F10" i="7"/>
  <c r="B10" i="7" s="1"/>
  <c r="F11" i="7"/>
  <c r="B11" i="7" s="1"/>
  <c r="F12" i="7"/>
  <c r="B12" i="7" s="1"/>
  <c r="F13" i="7"/>
  <c r="B13" i="7" s="1"/>
  <c r="F14" i="7"/>
  <c r="B14" i="7" s="1"/>
  <c r="F15" i="7"/>
  <c r="B15" i="7" s="1"/>
  <c r="F16" i="7"/>
  <c r="B16" i="7" s="1"/>
  <c r="F18" i="7"/>
  <c r="B18" i="7" s="1"/>
  <c r="F17" i="7"/>
  <c r="B17" i="7" s="1"/>
  <c r="F19" i="7"/>
  <c r="B19" i="7" s="1"/>
  <c r="F20" i="7"/>
  <c r="B20" i="7" s="1"/>
  <c r="F21" i="7"/>
  <c r="B21" i="7" s="1"/>
  <c r="F23" i="7"/>
  <c r="B23" i="7" s="1"/>
  <c r="F22" i="7"/>
  <c r="B22" i="7" s="1"/>
  <c r="F25" i="7"/>
  <c r="B25" i="7" s="1"/>
  <c r="F24" i="7"/>
  <c r="B24" i="7" s="1"/>
  <c r="F26" i="7"/>
  <c r="B26" i="7" s="1"/>
  <c r="F27" i="7"/>
  <c r="B27" i="7" s="1"/>
  <c r="F28" i="7"/>
  <c r="B28" i="7" s="1"/>
  <c r="F29" i="7"/>
  <c r="B29" i="7" s="1"/>
  <c r="F30" i="7"/>
  <c r="B30" i="7" s="1"/>
  <c r="F31" i="7"/>
  <c r="B31" i="7" s="1"/>
  <c r="F5" i="7"/>
  <c r="B5" i="7" s="1"/>
  <c r="C25" i="1"/>
  <c r="C25" i="17" s="1"/>
  <c r="C31" i="1"/>
  <c r="C22" i="1"/>
  <c r="C15" i="17" s="1"/>
  <c r="C12" i="1"/>
  <c r="C23" i="1"/>
  <c r="C23" i="17" s="1"/>
  <c r="C21" i="1"/>
  <c r="E21" i="1" s="1"/>
  <c r="C18" i="1"/>
  <c r="C14" i="17"/>
  <c r="C15" i="1"/>
  <c r="C24" i="1"/>
  <c r="C27" i="17" s="1"/>
  <c r="C16" i="1"/>
  <c r="C10" i="1"/>
  <c r="C11" i="17" s="1"/>
  <c r="C26" i="1"/>
  <c r="C13" i="1"/>
  <c r="C16" i="15" s="1"/>
  <c r="D16" i="15" s="1"/>
  <c r="E16" i="15" s="1"/>
  <c r="C27" i="1"/>
  <c r="C11" i="1"/>
  <c r="C12" i="15"/>
  <c r="D12" i="15" s="1"/>
  <c r="C9" i="1"/>
  <c r="C14" i="1"/>
  <c r="C13" i="17" s="1"/>
  <c r="G13" i="17" s="1"/>
  <c r="H13" i="17" s="1"/>
  <c r="C17" i="1"/>
  <c r="C19" i="1"/>
  <c r="C22" i="17" s="1"/>
  <c r="C30" i="1"/>
  <c r="C28" i="1"/>
  <c r="C24" i="15" s="1"/>
  <c r="C6" i="1"/>
  <c r="C7" i="1"/>
  <c r="C7" i="17"/>
  <c r="C8" i="1"/>
  <c r="C20" i="1"/>
  <c r="C29" i="17" s="1"/>
  <c r="C29" i="1"/>
  <c r="C5" i="1"/>
  <c r="C5" i="15" s="1"/>
  <c r="B32" i="2"/>
  <c r="C19" i="14"/>
  <c r="D14" i="8"/>
  <c r="E16" i="21" s="1"/>
  <c r="G16" i="21" s="1"/>
  <c r="H16" i="21" s="1"/>
  <c r="B8" i="8"/>
  <c r="D13" i="8"/>
  <c r="E13" i="21" s="1"/>
  <c r="G13" i="21" s="1"/>
  <c r="H13" i="21" s="1"/>
  <c r="C8" i="8"/>
  <c r="E8" i="17"/>
  <c r="C13" i="8"/>
  <c r="E16" i="17" s="1"/>
  <c r="G16" i="17" s="1"/>
  <c r="H16" i="17" s="1"/>
  <c r="C27" i="8"/>
  <c r="E24" i="17"/>
  <c r="C11" i="8"/>
  <c r="E12" i="17" s="1"/>
  <c r="B11" i="8"/>
  <c r="D11" i="12"/>
  <c r="C12" i="8"/>
  <c r="E10" i="17"/>
  <c r="B23" i="8"/>
  <c r="D23" i="12" s="1"/>
  <c r="E23" i="12" s="1"/>
  <c r="E12" i="15"/>
  <c r="C10" i="8"/>
  <c r="E11" i="17" s="1"/>
  <c r="G11" i="17" s="1"/>
  <c r="H11" i="17" s="1"/>
  <c r="B14" i="8"/>
  <c r="D14" i="12" s="1"/>
  <c r="D12" i="8"/>
  <c r="E12" i="21" s="1"/>
  <c r="G12" i="21" s="1"/>
  <c r="H12" i="21" s="1"/>
  <c r="B10" i="8"/>
  <c r="D10" i="12" s="1"/>
  <c r="E10" i="12" s="1"/>
  <c r="D20" i="10"/>
  <c r="E20" i="10" s="1"/>
  <c r="D24" i="15"/>
  <c r="E24" i="15" s="1"/>
  <c r="C29" i="8"/>
  <c r="E21" i="17" s="1"/>
  <c r="C30" i="10"/>
  <c r="D30" i="10" s="1"/>
  <c r="E30" i="10" s="1"/>
  <c r="D9" i="10"/>
  <c r="E9" i="10" s="1"/>
  <c r="E23" i="1"/>
  <c r="C22" i="2" s="1"/>
  <c r="D22" i="2" s="1"/>
  <c r="C26" i="8"/>
  <c r="E28" i="17" s="1"/>
  <c r="C22" i="8"/>
  <c r="E23" i="17" s="1"/>
  <c r="D22" i="8"/>
  <c r="C9" i="12"/>
  <c r="E22" i="1"/>
  <c r="C23" i="2"/>
  <c r="D23" i="2" s="1"/>
  <c r="E18" i="1"/>
  <c r="C17" i="2" s="1"/>
  <c r="D17" i="2" s="1"/>
  <c r="E17" i="1"/>
  <c r="C18" i="2"/>
  <c r="D18" i="2" s="1"/>
  <c r="D23" i="8"/>
  <c r="B25" i="8"/>
  <c r="C25" i="8"/>
  <c r="E25" i="17" s="1"/>
  <c r="C13" i="12"/>
  <c r="C12" i="12"/>
  <c r="E24" i="10"/>
  <c r="D23" i="18"/>
  <c r="D13" i="10"/>
  <c r="E13" i="10" s="1"/>
  <c r="C29" i="18"/>
  <c r="D29" i="18" s="1"/>
  <c r="B20" i="8"/>
  <c r="D22" i="12" s="1"/>
  <c r="C20" i="8"/>
  <c r="C19" i="10"/>
  <c r="D19" i="10" s="1"/>
  <c r="E19" i="10" s="1"/>
  <c r="C6" i="10"/>
  <c r="D6" i="10"/>
  <c r="E6" i="10" s="1"/>
  <c r="E18" i="14"/>
  <c r="E8" i="1"/>
  <c r="C8" i="7" s="1"/>
  <c r="D8" i="7" s="1"/>
  <c r="E8" i="7" s="1"/>
  <c r="E30" i="1"/>
  <c r="C30" i="2" s="1"/>
  <c r="D30" i="2" s="1"/>
  <c r="E12" i="1"/>
  <c r="C12" i="2" s="1"/>
  <c r="D12" i="2" s="1"/>
  <c r="D6" i="8"/>
  <c r="E6" i="21" s="1"/>
  <c r="B29" i="8"/>
  <c r="D29" i="12"/>
  <c r="B18" i="8"/>
  <c r="D16" i="12" s="1"/>
  <c r="E16" i="12" s="1"/>
  <c r="E23" i="13"/>
  <c r="G23" i="17"/>
  <c r="H23" i="17" s="1"/>
  <c r="E13" i="1"/>
  <c r="C13" i="7" s="1"/>
  <c r="D13" i="7" s="1"/>
  <c r="E13" i="7" s="1"/>
  <c r="B28" i="14"/>
  <c r="C5" i="18"/>
  <c r="C6" i="8"/>
  <c r="E6" i="17" s="1"/>
  <c r="B16" i="8"/>
  <c r="D21" i="12" s="1"/>
  <c r="E21" i="12" s="1"/>
  <c r="E7" i="1"/>
  <c r="C7" i="2" s="1"/>
  <c r="D7" i="2" s="1"/>
  <c r="E11" i="1"/>
  <c r="C11" i="2"/>
  <c r="D11" i="2" s="1"/>
  <c r="E20" i="1"/>
  <c r="C20" i="2" s="1"/>
  <c r="D20" i="2" s="1"/>
  <c r="E6" i="1"/>
  <c r="B6" i="9" s="1"/>
  <c r="E16" i="1"/>
  <c r="C16" i="7" s="1"/>
  <c r="D16" i="7" s="1"/>
  <c r="E16" i="7" s="1"/>
  <c r="C18" i="8"/>
  <c r="E19" i="17" s="1"/>
  <c r="C30" i="8"/>
  <c r="E26" i="17" s="1"/>
  <c r="B27" i="8"/>
  <c r="D28" i="12" s="1"/>
  <c r="C14" i="10"/>
  <c r="D14" i="10" s="1"/>
  <c r="E14" i="10" s="1"/>
  <c r="D27" i="10"/>
  <c r="E27" i="10" s="1"/>
  <c r="E19" i="1"/>
  <c r="C19" i="7" s="1"/>
  <c r="D19" i="7" s="1"/>
  <c r="E19" i="7" s="1"/>
  <c r="E15" i="1"/>
  <c r="C15" i="2" s="1"/>
  <c r="D15" i="2" s="1"/>
  <c r="C10" i="14"/>
  <c r="E10" i="14"/>
  <c r="D13" i="14"/>
  <c r="C13" i="14" s="1"/>
  <c r="E13" i="13"/>
  <c r="D26" i="12"/>
  <c r="E26" i="12" s="1"/>
  <c r="D14" i="14"/>
  <c r="C14" i="14" s="1"/>
  <c r="E16" i="13"/>
  <c r="D8" i="14"/>
  <c r="C8" i="14" s="1"/>
  <c r="E8" i="13"/>
  <c r="C15" i="21"/>
  <c r="G15" i="21"/>
  <c r="H15" i="21" s="1"/>
  <c r="E10" i="1"/>
  <c r="C10" i="2" s="1"/>
  <c r="D10" i="2" s="1"/>
  <c r="E29" i="1"/>
  <c r="B29" i="9" s="1"/>
  <c r="E25" i="1"/>
  <c r="D28" i="8"/>
  <c r="D26" i="8"/>
  <c r="C20" i="12"/>
  <c r="D24" i="18"/>
  <c r="B32" i="10"/>
  <c r="B32" i="15"/>
  <c r="B32" i="18"/>
  <c r="C21" i="18"/>
  <c r="D21" i="18" s="1"/>
  <c r="C31" i="20"/>
  <c r="C15" i="20"/>
  <c r="C7" i="21"/>
  <c r="E26" i="1"/>
  <c r="C26" i="2" s="1"/>
  <c r="D26" i="2" s="1"/>
  <c r="D25" i="10"/>
  <c r="E25" i="10" s="1"/>
  <c r="D32" i="1"/>
  <c r="B31" i="8"/>
  <c r="D31" i="12" s="1"/>
  <c r="E31" i="12" s="1"/>
  <c r="D29" i="10"/>
  <c r="E29" i="10" s="1"/>
  <c r="E14" i="1"/>
  <c r="C32" i="1"/>
  <c r="E5" i="1"/>
  <c r="C5" i="7" s="1"/>
  <c r="D5" i="7" s="1"/>
  <c r="E5" i="7" s="1"/>
  <c r="D31" i="8"/>
  <c r="C16" i="8"/>
  <c r="E14" i="17" s="1"/>
  <c r="G14" i="17" s="1"/>
  <c r="H14" i="17" s="1"/>
  <c r="B28" i="8"/>
  <c r="D27" i="12" s="1"/>
  <c r="G7" i="17"/>
  <c r="H7" i="17" s="1"/>
  <c r="E10" i="13"/>
  <c r="C28" i="13"/>
  <c r="C25" i="20"/>
  <c r="C5" i="21"/>
  <c r="C21" i="17"/>
  <c r="C21" i="15"/>
  <c r="D21" i="15" s="1"/>
  <c r="E21" i="15" s="1"/>
  <c r="C30" i="15"/>
  <c r="D30" i="15" s="1"/>
  <c r="C30" i="17"/>
  <c r="G30" i="17" s="1"/>
  <c r="C18" i="17"/>
  <c r="C18" i="15"/>
  <c r="D18" i="15" s="1"/>
  <c r="E18" i="15" s="1"/>
  <c r="E27" i="1"/>
  <c r="D12" i="12"/>
  <c r="D30" i="8"/>
  <c r="G17" i="21"/>
  <c r="H17" i="21"/>
  <c r="C15" i="8"/>
  <c r="E20" i="17" s="1"/>
  <c r="G20" i="17" s="1"/>
  <c r="H20" i="17" s="1"/>
  <c r="B15" i="8"/>
  <c r="C31" i="12"/>
  <c r="C31" i="10"/>
  <c r="D31" i="10" s="1"/>
  <c r="E31" i="10" s="1"/>
  <c r="E31" i="1"/>
  <c r="C22" i="12"/>
  <c r="C31" i="18"/>
  <c r="D31" i="18" s="1"/>
  <c r="C28" i="20"/>
  <c r="C27" i="20"/>
  <c r="D27" i="20" s="1"/>
  <c r="C30" i="18"/>
  <c r="D30" i="18" s="1"/>
  <c r="C22" i="20"/>
  <c r="C25" i="18"/>
  <c r="D25" i="18" s="1"/>
  <c r="C20" i="18"/>
  <c r="D20" i="18" s="1"/>
  <c r="C20" i="20"/>
  <c r="C14" i="18"/>
  <c r="D14" i="18" s="1"/>
  <c r="E14" i="18" s="1"/>
  <c r="C14" i="21"/>
  <c r="C14" i="20"/>
  <c r="C11" i="20"/>
  <c r="D11" i="20" s="1"/>
  <c r="E11" i="20" s="1"/>
  <c r="C11" i="18"/>
  <c r="D11" i="18" s="1"/>
  <c r="E11" i="18" s="1"/>
  <c r="C11" i="21"/>
  <c r="G11" i="21"/>
  <c r="H11" i="21" s="1"/>
  <c r="C8" i="21"/>
  <c r="C8" i="18"/>
  <c r="D8" i="18"/>
  <c r="E8" i="18" s="1"/>
  <c r="C8" i="20"/>
  <c r="D27" i="14"/>
  <c r="E26" i="13"/>
  <c r="D17" i="14"/>
  <c r="C17" i="14"/>
  <c r="C26" i="17"/>
  <c r="C26" i="15"/>
  <c r="D26" i="15" s="1"/>
  <c r="E26" i="15" s="1"/>
  <c r="C9" i="17"/>
  <c r="C9" i="15"/>
  <c r="D9" i="15" s="1"/>
  <c r="E9" i="15" s="1"/>
  <c r="C20" i="15"/>
  <c r="D20" i="15" s="1"/>
  <c r="E20" i="15" s="1"/>
  <c r="C20" i="17"/>
  <c r="C10" i="17"/>
  <c r="C10" i="15"/>
  <c r="D10" i="15" s="1"/>
  <c r="E10" i="15" s="1"/>
  <c r="C17" i="10"/>
  <c r="D17" i="10" s="1"/>
  <c r="E17" i="10" s="1"/>
  <c r="C17" i="12"/>
  <c r="C18" i="12"/>
  <c r="C18" i="10"/>
  <c r="D18" i="10" s="1"/>
  <c r="E18" i="10" s="1"/>
  <c r="C7" i="12"/>
  <c r="B32" i="1"/>
  <c r="C7" i="10"/>
  <c r="D7" i="10" s="1"/>
  <c r="E7" i="10" s="1"/>
  <c r="D16" i="14"/>
  <c r="C16" i="14"/>
  <c r="E19" i="13"/>
  <c r="E12" i="13"/>
  <c r="D12" i="14"/>
  <c r="D9" i="14"/>
  <c r="E9" i="13"/>
  <c r="B32" i="7"/>
  <c r="C8" i="15"/>
  <c r="D8" i="15" s="1"/>
  <c r="E8" i="15" s="1"/>
  <c r="C8" i="17"/>
  <c r="C28" i="17"/>
  <c r="C28" i="15"/>
  <c r="D28" i="15"/>
  <c r="D8" i="12"/>
  <c r="E9" i="1"/>
  <c r="C5" i="8"/>
  <c r="B5" i="8"/>
  <c r="C27" i="12"/>
  <c r="C23" i="12"/>
  <c r="C23" i="10"/>
  <c r="D23" i="10" s="1"/>
  <c r="E23" i="10" s="1"/>
  <c r="C21" i="10"/>
  <c r="D21" i="10" s="1"/>
  <c r="E21" i="10" s="1"/>
  <c r="D26" i="14"/>
  <c r="E22" i="13"/>
  <c r="D24" i="14"/>
  <c r="C24" i="14" s="1"/>
  <c r="E15" i="13"/>
  <c r="D23" i="14"/>
  <c r="C23" i="14" s="1"/>
  <c r="C6" i="17"/>
  <c r="C6" i="15"/>
  <c r="D6" i="15" s="1"/>
  <c r="E6" i="15" s="1"/>
  <c r="C19" i="17"/>
  <c r="C19" i="15"/>
  <c r="D19" i="15" s="1"/>
  <c r="E19" i="15" s="1"/>
  <c r="C17" i="17"/>
  <c r="C17" i="15"/>
  <c r="D17" i="15" s="1"/>
  <c r="E17" i="15" s="1"/>
  <c r="C31" i="17"/>
  <c r="G31" i="17" s="1"/>
  <c r="C31" i="15"/>
  <c r="D31" i="15" s="1"/>
  <c r="E29" i="17"/>
  <c r="G29" i="17" s="1"/>
  <c r="B21" i="8"/>
  <c r="C21" i="8"/>
  <c r="E18" i="17" s="1"/>
  <c r="G18" i="17" s="1"/>
  <c r="H18" i="17" s="1"/>
  <c r="D21" i="8"/>
  <c r="C19" i="8"/>
  <c r="E22" i="17" s="1"/>
  <c r="B19" i="8"/>
  <c r="D19" i="8"/>
  <c r="B9" i="8"/>
  <c r="D9" i="8"/>
  <c r="E9" i="21" s="1"/>
  <c r="C9" i="8"/>
  <c r="E9" i="17" s="1"/>
  <c r="G9" i="17" s="1"/>
  <c r="H9" i="17" s="1"/>
  <c r="C16" i="10"/>
  <c r="D16" i="10" s="1"/>
  <c r="E16" i="10" s="1"/>
  <c r="C11" i="12"/>
  <c r="D5" i="20"/>
  <c r="C27" i="15"/>
  <c r="D27" i="15" s="1"/>
  <c r="E27" i="15" s="1"/>
  <c r="C25" i="15"/>
  <c r="D25" i="15" s="1"/>
  <c r="E25" i="15" s="1"/>
  <c r="C23" i="15"/>
  <c r="D23" i="15" s="1"/>
  <c r="E23" i="15" s="1"/>
  <c r="C15" i="15"/>
  <c r="D15" i="15" s="1"/>
  <c r="E15" i="15" s="1"/>
  <c r="C13" i="15"/>
  <c r="D13" i="15" s="1"/>
  <c r="E13" i="15" s="1"/>
  <c r="C11" i="15"/>
  <c r="D11" i="15" s="1"/>
  <c r="E11" i="15" s="1"/>
  <c r="C7" i="15"/>
  <c r="D7" i="15" s="1"/>
  <c r="C5" i="17"/>
  <c r="C24" i="17"/>
  <c r="C16" i="17"/>
  <c r="C12" i="17"/>
  <c r="D5" i="18"/>
  <c r="C18" i="20"/>
  <c r="D18" i="20" s="1"/>
  <c r="E18" i="20" s="1"/>
  <c r="D7" i="8"/>
  <c r="E8" i="21" s="1"/>
  <c r="C17" i="8"/>
  <c r="E17" i="17" s="1"/>
  <c r="G17" i="17" s="1"/>
  <c r="H17" i="17" s="1"/>
  <c r="B7" i="8"/>
  <c r="D24" i="8"/>
  <c r="C29" i="12"/>
  <c r="E29" i="12" s="1"/>
  <c r="C5" i="12"/>
  <c r="C24" i="12"/>
  <c r="B24" i="8"/>
  <c r="B17" i="8"/>
  <c r="C26" i="18"/>
  <c r="D26" i="18" s="1"/>
  <c r="C22" i="18"/>
  <c r="D22" i="18" s="1"/>
  <c r="C29" i="15"/>
  <c r="D29" i="15" s="1"/>
  <c r="C24" i="20"/>
  <c r="C21" i="20"/>
  <c r="C10" i="20"/>
  <c r="D10" i="20" s="1"/>
  <c r="E10" i="20" s="1"/>
  <c r="C7" i="20"/>
  <c r="C18" i="21"/>
  <c r="G18" i="21" s="1"/>
  <c r="H18" i="21" s="1"/>
  <c r="C10" i="21"/>
  <c r="C6" i="21"/>
  <c r="H48" i="25"/>
  <c r="C22" i="15"/>
  <c r="D22" i="15" s="1"/>
  <c r="E22" i="15" s="1"/>
  <c r="C14" i="15"/>
  <c r="D14" i="15" s="1"/>
  <c r="E14" i="15" s="1"/>
  <c r="C19" i="18"/>
  <c r="D19" i="18" s="1"/>
  <c r="C17" i="18"/>
  <c r="D17" i="18" s="1"/>
  <c r="E17" i="18" s="1"/>
  <c r="C16" i="18"/>
  <c r="D16" i="18" s="1"/>
  <c r="E16" i="18" s="1"/>
  <c r="C13" i="18"/>
  <c r="D13" i="18" s="1"/>
  <c r="E13" i="18" s="1"/>
  <c r="C12" i="18"/>
  <c r="D12" i="18"/>
  <c r="E12" i="18" s="1"/>
  <c r="C9" i="18"/>
  <c r="D9" i="18" s="1"/>
  <c r="E9" i="18" s="1"/>
  <c r="C6" i="18"/>
  <c r="D6" i="18" s="1"/>
  <c r="E6" i="18" s="1"/>
  <c r="C17" i="20"/>
  <c r="C13" i="20"/>
  <c r="C9" i="21"/>
  <c r="C19" i="21"/>
  <c r="G19" i="21" s="1"/>
  <c r="H19" i="21" s="1"/>
  <c r="C15" i="10"/>
  <c r="D15" i="10" s="1"/>
  <c r="E15" i="10" s="1"/>
  <c r="C25" i="12"/>
  <c r="C10" i="10"/>
  <c r="D10" i="10" s="1"/>
  <c r="C26" i="10"/>
  <c r="D26" i="10" s="1"/>
  <c r="E26" i="10" s="1"/>
  <c r="C8" i="12"/>
  <c r="C28" i="12"/>
  <c r="C16" i="20"/>
  <c r="C12" i="20"/>
  <c r="B16" i="9"/>
  <c r="B7" i="9"/>
  <c r="C15" i="7"/>
  <c r="D15" i="7" s="1"/>
  <c r="E15" i="7" s="1"/>
  <c r="E12" i="8"/>
  <c r="C12" i="9" s="1"/>
  <c r="G10" i="17"/>
  <c r="H10" i="17" s="1"/>
  <c r="G8" i="17"/>
  <c r="H8" i="17" s="1"/>
  <c r="C30" i="7"/>
  <c r="D30" i="7" s="1"/>
  <c r="E30" i="7" s="1"/>
  <c r="B26" i="9"/>
  <c r="C7" i="7"/>
  <c r="D7" i="7" s="1"/>
  <c r="E7" i="7" s="1"/>
  <c r="C16" i="2"/>
  <c r="D16" i="2" s="1"/>
  <c r="B17" i="9"/>
  <c r="C8" i="2"/>
  <c r="D8" i="2" s="1"/>
  <c r="E28" i="8"/>
  <c r="C27" i="9"/>
  <c r="E12" i="12"/>
  <c r="C11" i="7"/>
  <c r="D11" i="7" s="1"/>
  <c r="E11" i="7" s="1"/>
  <c r="E11" i="8"/>
  <c r="C11" i="9"/>
  <c r="B30" i="9"/>
  <c r="B18" i="9"/>
  <c r="B11" i="9"/>
  <c r="G28" i="17"/>
  <c r="E26" i="8"/>
  <c r="C26" i="9" s="1"/>
  <c r="D26" i="9" s="1"/>
  <c r="E26" i="9" s="1"/>
  <c r="B19" i="9"/>
  <c r="B12" i="9"/>
  <c r="C19" i="2"/>
  <c r="D19" i="2" s="1"/>
  <c r="E14" i="8"/>
  <c r="C14" i="9" s="1"/>
  <c r="C12" i="7"/>
  <c r="D12" i="7" s="1"/>
  <c r="E12" i="7" s="1"/>
  <c r="E25" i="8"/>
  <c r="C24" i="9" s="1"/>
  <c r="E20" i="8"/>
  <c r="C20" i="9" s="1"/>
  <c r="D25" i="12"/>
  <c r="B15" i="9"/>
  <c r="C23" i="7"/>
  <c r="D23" i="7" s="1"/>
  <c r="E23" i="7" s="1"/>
  <c r="E13" i="14"/>
  <c r="B22" i="9"/>
  <c r="E17" i="14"/>
  <c r="C26" i="7"/>
  <c r="D26" i="7" s="1"/>
  <c r="E26" i="7" s="1"/>
  <c r="E13" i="8"/>
  <c r="C13" i="9" s="1"/>
  <c r="C17" i="7"/>
  <c r="D17" i="7" s="1"/>
  <c r="E17" i="7" s="1"/>
  <c r="G21" i="17"/>
  <c r="H21" i="17" s="1"/>
  <c r="B10" i="9"/>
  <c r="B8" i="9"/>
  <c r="C6" i="2"/>
  <c r="D6" i="2" s="1"/>
  <c r="C22" i="7"/>
  <c r="D22" i="7" s="1"/>
  <c r="E22" i="7" s="1"/>
  <c r="G6" i="21"/>
  <c r="H6" i="21" s="1"/>
  <c r="B23" i="9"/>
  <c r="C18" i="7"/>
  <c r="D18" i="7" s="1"/>
  <c r="E18" i="7" s="1"/>
  <c r="C6" i="7"/>
  <c r="D6" i="7" s="1"/>
  <c r="E6" i="7" s="1"/>
  <c r="E29" i="8"/>
  <c r="C29" i="9" s="1"/>
  <c r="D29" i="9" s="1"/>
  <c r="E29" i="9" s="1"/>
  <c r="C10" i="7"/>
  <c r="D10" i="7" s="1"/>
  <c r="E10" i="7" s="1"/>
  <c r="E31" i="8"/>
  <c r="C31" i="9" s="1"/>
  <c r="E8" i="14"/>
  <c r="C20" i="7"/>
  <c r="D20" i="7" s="1"/>
  <c r="E20" i="7" s="1"/>
  <c r="E16" i="8"/>
  <c r="C17" i="9" s="1"/>
  <c r="D17" i="9" s="1"/>
  <c r="E18" i="8"/>
  <c r="C18" i="9" s="1"/>
  <c r="E16" i="14"/>
  <c r="B20" i="9"/>
  <c r="C13" i="2"/>
  <c r="D13" i="2" s="1"/>
  <c r="B13" i="9"/>
  <c r="E14" i="14"/>
  <c r="C5" i="2"/>
  <c r="D5" i="2" s="1"/>
  <c r="B5" i="9"/>
  <c r="C14" i="2"/>
  <c r="D14" i="2" s="1"/>
  <c r="B14" i="9"/>
  <c r="C14" i="7"/>
  <c r="D14" i="7" s="1"/>
  <c r="E14" i="7" s="1"/>
  <c r="C24" i="2"/>
  <c r="D24" i="2" s="1"/>
  <c r="B24" i="9"/>
  <c r="C24" i="7"/>
  <c r="D24" i="7" s="1"/>
  <c r="E24" i="7" s="1"/>
  <c r="C29" i="2"/>
  <c r="D29" i="2" s="1"/>
  <c r="C29" i="7"/>
  <c r="D29" i="7" s="1"/>
  <c r="E29" i="7" s="1"/>
  <c r="C48" i="25"/>
  <c r="S48" i="25"/>
  <c r="W48" i="25"/>
  <c r="B48" i="25"/>
  <c r="E7" i="8"/>
  <c r="C7" i="9" s="1"/>
  <c r="D7" i="9" s="1"/>
  <c r="E7" i="9" s="1"/>
  <c r="D7" i="12"/>
  <c r="E7" i="12" s="1"/>
  <c r="E5" i="20"/>
  <c r="AB48" i="25"/>
  <c r="M48" i="25"/>
  <c r="V48" i="25"/>
  <c r="D5" i="12"/>
  <c r="C9" i="2"/>
  <c r="D9" i="2" s="1"/>
  <c r="B9" i="9"/>
  <c r="C9" i="7"/>
  <c r="D9" i="7" s="1"/>
  <c r="E9" i="7" s="1"/>
  <c r="C20" i="21"/>
  <c r="B6" i="21" s="1"/>
  <c r="C12" i="14"/>
  <c r="E12" i="14"/>
  <c r="D48" i="25"/>
  <c r="C31" i="2"/>
  <c r="D31" i="2" s="1"/>
  <c r="B31" i="9"/>
  <c r="C31" i="7"/>
  <c r="D31" i="7" s="1"/>
  <c r="E31" i="7" s="1"/>
  <c r="C27" i="2"/>
  <c r="D27" i="2" s="1"/>
  <c r="C27" i="7"/>
  <c r="D27" i="7" s="1"/>
  <c r="E27" i="7" s="1"/>
  <c r="B27" i="9"/>
  <c r="D27" i="9" s="1"/>
  <c r="E27" i="9" s="1"/>
  <c r="F48" i="25"/>
  <c r="P48" i="25"/>
  <c r="Q48" i="25"/>
  <c r="Y48" i="25"/>
  <c r="E17" i="8"/>
  <c r="C16" i="9" s="1"/>
  <c r="D16" i="9" s="1"/>
  <c r="E16" i="9" s="1"/>
  <c r="D15" i="12"/>
  <c r="E15" i="12" s="1"/>
  <c r="E5" i="18"/>
  <c r="E5" i="17"/>
  <c r="G5" i="17" s="1"/>
  <c r="E8" i="12"/>
  <c r="R48" i="25"/>
  <c r="N48" i="25"/>
  <c r="Z48" i="25"/>
  <c r="D18" i="12"/>
  <c r="E18" i="12" s="1"/>
  <c r="G48" i="25"/>
  <c r="O48" i="25"/>
  <c r="AA48" i="25"/>
  <c r="D24" i="12"/>
  <c r="E24" i="12" s="1"/>
  <c r="G9" i="21"/>
  <c r="H9" i="21" s="1"/>
  <c r="E19" i="8"/>
  <c r="C19" i="9" s="1"/>
  <c r="D19" i="9" s="1"/>
  <c r="E19" i="9" s="1"/>
  <c r="D17" i="12"/>
  <c r="E17" i="12" s="1"/>
  <c r="D19" i="12"/>
  <c r="E19" i="12" s="1"/>
  <c r="E21" i="8"/>
  <c r="C21" i="9"/>
  <c r="G24" i="17"/>
  <c r="H24" i="17" s="1"/>
  <c r="E11" i="12"/>
  <c r="E23" i="14"/>
  <c r="E48" i="25"/>
  <c r="J48" i="25"/>
  <c r="L48" i="25"/>
  <c r="T48" i="25"/>
  <c r="X48" i="25"/>
  <c r="C32" i="20"/>
  <c r="I48" i="25"/>
  <c r="K48" i="25"/>
  <c r="D9" i="12"/>
  <c r="E9" i="12" s="1"/>
  <c r="E9" i="8"/>
  <c r="C9" i="9" s="1"/>
  <c r="E26" i="14"/>
  <c r="C26" i="14"/>
  <c r="E9" i="14"/>
  <c r="C9" i="14"/>
  <c r="E27" i="14"/>
  <c r="C27" i="14"/>
  <c r="U48" i="25"/>
  <c r="D12" i="9"/>
  <c r="E12" i="9"/>
  <c r="D14" i="9"/>
  <c r="E14" i="9" s="1"/>
  <c r="D18" i="9"/>
  <c r="E18" i="9" s="1"/>
  <c r="D11" i="9"/>
  <c r="E11" i="9" s="1"/>
  <c r="D9" i="9"/>
  <c r="E9" i="9" s="1"/>
  <c r="B12" i="21"/>
  <c r="B7" i="21"/>
  <c r="B19" i="21"/>
  <c r="B8" i="21"/>
  <c r="B18" i="21"/>
  <c r="B5" i="21"/>
  <c r="B15" i="21"/>
  <c r="B14" i="21"/>
  <c r="B16" i="21"/>
  <c r="B11" i="21"/>
  <c r="B10" i="21"/>
  <c r="E5" i="12"/>
  <c r="C32" i="10" l="1"/>
  <c r="D11" i="10"/>
  <c r="E11" i="10" s="1"/>
  <c r="D6" i="14"/>
  <c r="E6" i="13"/>
  <c r="E27" i="17"/>
  <c r="G27" i="17" s="1"/>
  <c r="H27" i="17" s="1"/>
  <c r="E24" i="8"/>
  <c r="C25" i="9" s="1"/>
  <c r="E17" i="13"/>
  <c r="D21" i="14"/>
  <c r="C21" i="2"/>
  <c r="D21" i="2" s="1"/>
  <c r="C21" i="7"/>
  <c r="D21" i="7" s="1"/>
  <c r="E21" i="7" s="1"/>
  <c r="B21" i="9"/>
  <c r="E27" i="8"/>
  <c r="C28" i="9" s="1"/>
  <c r="D32" i="8"/>
  <c r="E20" i="13"/>
  <c r="D20" i="14"/>
  <c r="E7" i="13"/>
  <c r="D7" i="14"/>
  <c r="D30" i="12"/>
  <c r="E30" i="12" s="1"/>
  <c r="E30" i="8"/>
  <c r="C30" i="9" s="1"/>
  <c r="D30" i="9" s="1"/>
  <c r="E30" i="9" s="1"/>
  <c r="F28" i="14"/>
  <c r="E24" i="14"/>
  <c r="D20" i="9"/>
  <c r="E20" i="9" s="1"/>
  <c r="D21" i="20"/>
  <c r="G12" i="17"/>
  <c r="H12" i="17" s="1"/>
  <c r="D31" i="20"/>
  <c r="G26" i="17"/>
  <c r="H26" i="17" s="1"/>
  <c r="E14" i="12"/>
  <c r="E27" i="12"/>
  <c r="G19" i="17"/>
  <c r="H19" i="17" s="1"/>
  <c r="D21" i="9"/>
  <c r="E21" i="9" s="1"/>
  <c r="D13" i="9"/>
  <c r="E13" i="9" s="1"/>
  <c r="D13" i="20"/>
  <c r="E13" i="20" s="1"/>
  <c r="D7" i="20"/>
  <c r="E22" i="12"/>
  <c r="C32" i="12"/>
  <c r="D9" i="20"/>
  <c r="E9" i="20" s="1"/>
  <c r="D30" i="20"/>
  <c r="D22" i="20"/>
  <c r="D31" i="9"/>
  <c r="E31" i="9" s="1"/>
  <c r="E25" i="12"/>
  <c r="D17" i="20"/>
  <c r="E17" i="20" s="1"/>
  <c r="D25" i="20"/>
  <c r="D15" i="20"/>
  <c r="E15" i="20" s="1"/>
  <c r="E24" i="1"/>
  <c r="D24" i="20"/>
  <c r="D16" i="20"/>
  <c r="E16" i="20" s="1"/>
  <c r="D20" i="12"/>
  <c r="E20" i="12" s="1"/>
  <c r="E22" i="8"/>
  <c r="C23" i="9" s="1"/>
  <c r="D23" i="9" s="1"/>
  <c r="E23" i="9" s="1"/>
  <c r="E10" i="21"/>
  <c r="G10" i="21" s="1"/>
  <c r="H10" i="21" s="1"/>
  <c r="E10" i="8"/>
  <c r="C10" i="9" s="1"/>
  <c r="D10" i="9" s="1"/>
  <c r="E10" i="9" s="1"/>
  <c r="D6" i="12"/>
  <c r="E6" i="8"/>
  <c r="C6" i="9" s="1"/>
  <c r="D6" i="9" s="1"/>
  <c r="E6" i="9" s="1"/>
  <c r="B32" i="8"/>
  <c r="D25" i="14"/>
  <c r="E25" i="13"/>
  <c r="C32" i="15"/>
  <c r="D5" i="15"/>
  <c r="E5" i="15" s="1"/>
  <c r="E14" i="21"/>
  <c r="G14" i="21" s="1"/>
  <c r="H14" i="21" s="1"/>
  <c r="E15" i="8"/>
  <c r="C15" i="9" s="1"/>
  <c r="D15" i="9" s="1"/>
  <c r="E15" i="9" s="1"/>
  <c r="E5" i="8"/>
  <c r="E5" i="21"/>
  <c r="G5" i="21" s="1"/>
  <c r="H5" i="21" s="1"/>
  <c r="D11" i="14"/>
  <c r="E11" i="13"/>
  <c r="E7" i="21"/>
  <c r="G7" i="21" s="1"/>
  <c r="H7" i="21" s="1"/>
  <c r="E8" i="8"/>
  <c r="C8" i="9" s="1"/>
  <c r="D8" i="9" s="1"/>
  <c r="E8" i="9" s="1"/>
  <c r="B16" i="12"/>
  <c r="B13" i="12"/>
  <c r="B22" i="12"/>
  <c r="B25" i="12"/>
  <c r="E14" i="13"/>
  <c r="D15" i="14"/>
  <c r="B32" i="20"/>
  <c r="D6" i="20"/>
  <c r="E6" i="20" s="1"/>
  <c r="C32" i="17"/>
  <c r="E15" i="17"/>
  <c r="C32" i="8"/>
  <c r="E23" i="8"/>
  <c r="C22" i="9" s="1"/>
  <c r="D22" i="9" s="1"/>
  <c r="E22" i="9" s="1"/>
  <c r="C32" i="18"/>
  <c r="D7" i="18"/>
  <c r="E21" i="13"/>
  <c r="D22" i="14"/>
  <c r="F28" i="13"/>
  <c r="E28" i="13" s="1"/>
  <c r="E5" i="13"/>
  <c r="D5" i="14"/>
  <c r="D24" i="9"/>
  <c r="E24" i="9" s="1"/>
  <c r="E28" i="12"/>
  <c r="G22" i="17"/>
  <c r="H22" i="17" s="1"/>
  <c r="D14" i="20"/>
  <c r="E14" i="20" s="1"/>
  <c r="D28" i="20"/>
  <c r="D12" i="20"/>
  <c r="E12" i="20" s="1"/>
  <c r="G25" i="17"/>
  <c r="H25" i="17" s="1"/>
  <c r="G6" i="17"/>
  <c r="H6" i="17" s="1"/>
  <c r="D8" i="20"/>
  <c r="E8" i="20" s="1"/>
  <c r="D20" i="20"/>
  <c r="E17" i="9"/>
  <c r="H5" i="17"/>
  <c r="B26" i="12"/>
  <c r="B28" i="12"/>
  <c r="B15" i="12"/>
  <c r="B19" i="12"/>
  <c r="B20" i="12"/>
  <c r="B8" i="12"/>
  <c r="B9" i="21"/>
  <c r="B13" i="21"/>
  <c r="B17" i="21"/>
  <c r="G8" i="21"/>
  <c r="E10" i="10"/>
  <c r="D32" i="10"/>
  <c r="E32" i="10" s="1"/>
  <c r="E7" i="15"/>
  <c r="D32" i="15"/>
  <c r="E32" i="15" s="1"/>
  <c r="E7" i="20"/>
  <c r="E13" i="12"/>
  <c r="E28" i="1"/>
  <c r="C25" i="2" l="1"/>
  <c r="D25" i="2" s="1"/>
  <c r="B25" i="9"/>
  <c r="C25" i="7"/>
  <c r="D25" i="7" s="1"/>
  <c r="E25" i="7" s="1"/>
  <c r="C21" i="14"/>
  <c r="E21" i="14"/>
  <c r="B31" i="12"/>
  <c r="B11" i="12"/>
  <c r="B6" i="12"/>
  <c r="B21" i="12"/>
  <c r="B29" i="12"/>
  <c r="B23" i="12"/>
  <c r="B12" i="12"/>
  <c r="B30" i="12"/>
  <c r="B18" i="12"/>
  <c r="B5" i="12"/>
  <c r="B32" i="12" s="1"/>
  <c r="B7" i="12"/>
  <c r="B27" i="12"/>
  <c r="B14" i="12"/>
  <c r="B9" i="12"/>
  <c r="B17" i="12"/>
  <c r="B24" i="12"/>
  <c r="B10" i="12"/>
  <c r="C20" i="14"/>
  <c r="E20" i="14"/>
  <c r="C6" i="14"/>
  <c r="E6" i="14"/>
  <c r="D25" i="9"/>
  <c r="E25" i="9" s="1"/>
  <c r="C7" i="14"/>
  <c r="E7" i="14"/>
  <c r="G15" i="17"/>
  <c r="E32" i="17"/>
  <c r="E20" i="21"/>
  <c r="B7" i="17"/>
  <c r="B31" i="17"/>
  <c r="B27" i="17"/>
  <c r="B18" i="17"/>
  <c r="B24" i="17"/>
  <c r="B6" i="17"/>
  <c r="B16" i="17"/>
  <c r="B17" i="17"/>
  <c r="B19" i="17"/>
  <c r="B10" i="17"/>
  <c r="B5" i="17"/>
  <c r="B23" i="17"/>
  <c r="B9" i="17"/>
  <c r="B25" i="17"/>
  <c r="B11" i="17"/>
  <c r="B15" i="17"/>
  <c r="B14" i="17"/>
  <c r="B12" i="17"/>
  <c r="B20" i="17"/>
  <c r="B21" i="17"/>
  <c r="B30" i="17"/>
  <c r="B29" i="17"/>
  <c r="B26" i="17"/>
  <c r="B13" i="17"/>
  <c r="B22" i="17"/>
  <c r="B8" i="17"/>
  <c r="B28" i="17"/>
  <c r="E22" i="14"/>
  <c r="C22" i="14"/>
  <c r="E11" i="14"/>
  <c r="C11" i="14"/>
  <c r="C25" i="14"/>
  <c r="E25" i="14"/>
  <c r="E32" i="8"/>
  <c r="C5" i="9"/>
  <c r="E6" i="12"/>
  <c r="E32" i="12" s="1"/>
  <c r="D32" i="12"/>
  <c r="D32" i="20"/>
  <c r="E32" i="20" s="1"/>
  <c r="B20" i="21"/>
  <c r="E5" i="14"/>
  <c r="C5" i="14"/>
  <c r="D28" i="14"/>
  <c r="E7" i="18"/>
  <c r="D32" i="18"/>
  <c r="E32" i="18" s="1"/>
  <c r="C15" i="14"/>
  <c r="E15" i="14"/>
  <c r="D6" i="21"/>
  <c r="F6" i="21" s="1"/>
  <c r="D12" i="21"/>
  <c r="F12" i="21" s="1"/>
  <c r="D8" i="21"/>
  <c r="F8" i="21" s="1"/>
  <c r="D14" i="21"/>
  <c r="F14" i="21" s="1"/>
  <c r="D10" i="21"/>
  <c r="F10" i="21" s="1"/>
  <c r="D16" i="21"/>
  <c r="F16" i="21" s="1"/>
  <c r="D7" i="21"/>
  <c r="F7" i="21" s="1"/>
  <c r="D9" i="21"/>
  <c r="F9" i="21" s="1"/>
  <c r="D15" i="21"/>
  <c r="F15" i="21" s="1"/>
  <c r="D11" i="21"/>
  <c r="F11" i="21" s="1"/>
  <c r="D18" i="21"/>
  <c r="F18" i="21" s="1"/>
  <c r="D19" i="21"/>
  <c r="F19" i="21" s="1"/>
  <c r="D17" i="21"/>
  <c r="F17" i="21" s="1"/>
  <c r="D5" i="21"/>
  <c r="D13" i="21"/>
  <c r="F13" i="21" s="1"/>
  <c r="C28" i="2"/>
  <c r="E32" i="1"/>
  <c r="C28" i="7"/>
  <c r="B28" i="9"/>
  <c r="H8" i="21"/>
  <c r="G20" i="21"/>
  <c r="H20" i="21" s="1"/>
  <c r="C28" i="14" l="1"/>
  <c r="E28" i="14"/>
  <c r="D5" i="9"/>
  <c r="E5" i="9" s="1"/>
  <c r="C32" i="9"/>
  <c r="B32" i="17"/>
  <c r="D12" i="17"/>
  <c r="F12" i="17" s="1"/>
  <c r="D17" i="17"/>
  <c r="F17" i="17" s="1"/>
  <c r="D21" i="17"/>
  <c r="F21" i="17" s="1"/>
  <c r="D7" i="17"/>
  <c r="F7" i="17" s="1"/>
  <c r="D6" i="17"/>
  <c r="F6" i="17" s="1"/>
  <c r="D31" i="17"/>
  <c r="F31" i="17" s="1"/>
  <c r="D18" i="17"/>
  <c r="F18" i="17" s="1"/>
  <c r="D27" i="17"/>
  <c r="F27" i="17" s="1"/>
  <c r="D20" i="17"/>
  <c r="F20" i="17" s="1"/>
  <c r="D24" i="17"/>
  <c r="F24" i="17" s="1"/>
  <c r="D9" i="17"/>
  <c r="F9" i="17" s="1"/>
  <c r="D8" i="17"/>
  <c r="F8" i="17" s="1"/>
  <c r="D10" i="17"/>
  <c r="F10" i="17" s="1"/>
  <c r="D26" i="17"/>
  <c r="F26" i="17" s="1"/>
  <c r="D13" i="17"/>
  <c r="F13" i="17" s="1"/>
  <c r="D5" i="17"/>
  <c r="D30" i="17"/>
  <c r="F30" i="17" s="1"/>
  <c r="D22" i="17"/>
  <c r="F22" i="17" s="1"/>
  <c r="D23" i="17"/>
  <c r="F23" i="17" s="1"/>
  <c r="D11" i="17"/>
  <c r="F11" i="17" s="1"/>
  <c r="D19" i="17"/>
  <c r="F19" i="17" s="1"/>
  <c r="D29" i="17"/>
  <c r="F29" i="17" s="1"/>
  <c r="D28" i="17"/>
  <c r="F28" i="17" s="1"/>
  <c r="D15" i="17"/>
  <c r="F15" i="17" s="1"/>
  <c r="D25" i="17"/>
  <c r="F25" i="17" s="1"/>
  <c r="D14" i="17"/>
  <c r="F14" i="17" s="1"/>
  <c r="D16" i="17"/>
  <c r="F16" i="17" s="1"/>
  <c r="H15" i="17"/>
  <c r="G32" i="17"/>
  <c r="H32" i="17" s="1"/>
  <c r="B32" i="9"/>
  <c r="D28" i="9"/>
  <c r="D28" i="7"/>
  <c r="C32" i="7"/>
  <c r="F5" i="21"/>
  <c r="D20" i="21"/>
  <c r="F20" i="21" s="1"/>
  <c r="D28" i="2"/>
  <c r="D32" i="2" s="1"/>
  <c r="C32" i="2"/>
  <c r="F5" i="17" l="1"/>
  <c r="F32" i="17" s="1"/>
  <c r="D32" i="17"/>
  <c r="E28" i="7"/>
  <c r="D32" i="7"/>
  <c r="E32" i="7" s="1"/>
  <c r="E28" i="9"/>
  <c r="D32" i="9"/>
  <c r="E32" i="9" s="1"/>
</calcChain>
</file>

<file path=xl/sharedStrings.xml><?xml version="1.0" encoding="utf-8"?>
<sst xmlns="http://schemas.openxmlformats.org/spreadsheetml/2006/main" count="1385" uniqueCount="291">
  <si>
    <t>GST exclusive</t>
  </si>
  <si>
    <t>Edumis</t>
  </si>
  <si>
    <t>TEOs</t>
  </si>
  <si>
    <t>External Research Income</t>
  </si>
  <si>
    <t>Research Degree Completion</t>
  </si>
  <si>
    <t>Total Funding</t>
  </si>
  <si>
    <t>University of Auckland</t>
  </si>
  <si>
    <t>Massey University</t>
  </si>
  <si>
    <t>Victoria University of Wellington</t>
  </si>
  <si>
    <t>University of Waikato</t>
  </si>
  <si>
    <t>Lincoln University</t>
  </si>
  <si>
    <t>Auckland University of Technology</t>
  </si>
  <si>
    <t>Unitec New Zealand</t>
  </si>
  <si>
    <t>Waikato Institute of Technology</t>
  </si>
  <si>
    <t>Otago Polytechnic</t>
  </si>
  <si>
    <t>Manukau Institute of Technology</t>
  </si>
  <si>
    <t>Christchurch Polytechnic Institute of Technology</t>
  </si>
  <si>
    <t>Whitecliff College of Arts and Design</t>
  </si>
  <si>
    <t>Open Polytechnic of New Zealand</t>
  </si>
  <si>
    <t>Eastern Institute of Technology</t>
  </si>
  <si>
    <t>Whitireia Community Polytechnic</t>
  </si>
  <si>
    <t>Laidlaw College</t>
  </si>
  <si>
    <t>Northland Polytechnic</t>
  </si>
  <si>
    <t>Carey Baptist College</t>
  </si>
  <si>
    <t>Bethlehem Institute of Education</t>
  </si>
  <si>
    <t>AIS St Helens</t>
  </si>
  <si>
    <t>Good Shepherd College</t>
  </si>
  <si>
    <t>Total</t>
  </si>
  <si>
    <t>Total Indicative Funding</t>
  </si>
  <si>
    <t>Total Final Funding</t>
  </si>
  <si>
    <t>Change($)</t>
  </si>
  <si>
    <t>Change(%)</t>
  </si>
  <si>
    <t>Ratio</t>
  </si>
  <si>
    <t>Quality 
Evaluation</t>
  </si>
  <si>
    <t>Ratio
 Difference</t>
  </si>
  <si>
    <t>2011</t>
  </si>
  <si>
    <t>The University of Auckland</t>
  </si>
  <si>
    <t>University of Canterbury</t>
  </si>
  <si>
    <t>University of Otago</t>
  </si>
  <si>
    <t>Grand Total</t>
  </si>
  <si>
    <t>Te Whare Wānanga o Awanuiārangi</t>
  </si>
  <si>
    <t>Wellington Institute of Technology</t>
  </si>
  <si>
    <t>New Zealand College of Chiropractic</t>
  </si>
  <si>
    <t>New Zealand Tertiary College</t>
  </si>
  <si>
    <t>Change ($)</t>
  </si>
  <si>
    <t>2012</t>
  </si>
  <si>
    <t>Primary_Subject_Area</t>
  </si>
  <si>
    <t>Agriculture and Other Applied Biological Sciences</t>
  </si>
  <si>
    <t>Anthropology and Archaeology</t>
  </si>
  <si>
    <t>Architecture, Design, Planning, Surveying</t>
  </si>
  <si>
    <t>Biomedical</t>
  </si>
  <si>
    <t>Chemistry</t>
  </si>
  <si>
    <t>Clinical Medicine</t>
  </si>
  <si>
    <t>Communications, Journalism and Media Studies</t>
  </si>
  <si>
    <t>Computer Science, Information Technology, Information Sciences</t>
  </si>
  <si>
    <t>Dentistry</t>
  </si>
  <si>
    <t>Design</t>
  </si>
  <si>
    <t>Earth Sciences</t>
  </si>
  <si>
    <t>Ecology, Evolution and Behaviour</t>
  </si>
  <si>
    <t>Economics</t>
  </si>
  <si>
    <t>Education</t>
  </si>
  <si>
    <t>Engineering and Technology</t>
  </si>
  <si>
    <t>English Language and Literature</t>
  </si>
  <si>
    <t>Foreign Languages and Linguistics</t>
  </si>
  <si>
    <t>History, History of Art, Classics and Curatorial Studies</t>
  </si>
  <si>
    <t>Human Geography</t>
  </si>
  <si>
    <t>Law</t>
  </si>
  <si>
    <t>Management, Human Resources, Industrial Relations and Other Businesses</t>
  </si>
  <si>
    <t>Māori Knowledge and Development</t>
  </si>
  <si>
    <t>Marketing and Tourism</t>
  </si>
  <si>
    <t>Molecular, Cellular and Whole Organism Biology</t>
  </si>
  <si>
    <t>Music, Literary Arts and Other Arts</t>
  </si>
  <si>
    <t>Nursing</t>
  </si>
  <si>
    <t>Other Health Studies (including Rehabilitation Therapies)</t>
  </si>
  <si>
    <t>Pharmacy</t>
  </si>
  <si>
    <t>Philosophy</t>
  </si>
  <si>
    <t>Physics</t>
  </si>
  <si>
    <t>Political Science, International Relations and Public Policy</t>
  </si>
  <si>
    <t>Psychology</t>
  </si>
  <si>
    <t>Public Health</t>
  </si>
  <si>
    <t>Pure and Applied Mathematics</t>
  </si>
  <si>
    <t>Religious Studies and Theology</t>
  </si>
  <si>
    <t>Sociology, Social Policy, Social Work, Criminology &amp; Gender Studies</t>
  </si>
  <si>
    <t>Sport and Exercise Science</t>
  </si>
  <si>
    <t>Statistics</t>
  </si>
  <si>
    <t>Theatre and Dance, Film, Television and Multimedia</t>
  </si>
  <si>
    <t>Veterinary Studies and Large Animal Science</t>
  </si>
  <si>
    <t>Visual Arts and Crafts</t>
  </si>
  <si>
    <t>Check</t>
  </si>
  <si>
    <t>QE Final 
2014</t>
  </si>
  <si>
    <r>
      <t>Change 2011 →</t>
    </r>
    <r>
      <rPr>
        <b/>
        <i/>
        <sz val="9"/>
        <color theme="1"/>
        <rFont val="Calibri"/>
        <family val="2"/>
      </rPr>
      <t xml:space="preserve"> 2012</t>
    </r>
  </si>
  <si>
    <t>Change 2012 → 2013</t>
  </si>
  <si>
    <t>2013</t>
  </si>
  <si>
    <t>ERI Final
2014</t>
  </si>
  <si>
    <t>2015
Ratio</t>
  </si>
  <si>
    <t>RDC Final 
2014</t>
  </si>
  <si>
    <t>Ethnicity</t>
  </si>
  <si>
    <t>TEO Name</t>
  </si>
  <si>
    <t>Course register level</t>
  </si>
  <si>
    <t>Doctorate</t>
  </si>
  <si>
    <t>Masters</t>
  </si>
  <si>
    <t xml:space="preserve">University of Otago                     </t>
  </si>
  <si>
    <t xml:space="preserve">Massey University                       </t>
  </si>
  <si>
    <t xml:space="preserve">University of Canterbury                </t>
  </si>
  <si>
    <t xml:space="preserve">Victoria University of Wellington       </t>
  </si>
  <si>
    <t xml:space="preserve">University of Waikato                   </t>
  </si>
  <si>
    <t xml:space="preserve">Auckland University of Technology       </t>
  </si>
  <si>
    <t xml:space="preserve">Lincoln University                      </t>
  </si>
  <si>
    <t xml:space="preserve">Unitec New Zealand                      </t>
  </si>
  <si>
    <t xml:space="preserve">Waikato Institute of Technology         </t>
  </si>
  <si>
    <t xml:space="preserve">Otago Polytechnic                       </t>
  </si>
  <si>
    <t xml:space="preserve">Whitecliffe College of Arts and Design  </t>
  </si>
  <si>
    <t xml:space="preserve">Laidlaw College Incorporated            </t>
  </si>
  <si>
    <t>Agriculture, Environmental and Related  Studies</t>
  </si>
  <si>
    <t>Architecture and Building</t>
  </si>
  <si>
    <t>Creative Arts</t>
  </si>
  <si>
    <t>Engineering and Related Technologies</t>
  </si>
  <si>
    <t>Health</t>
  </si>
  <si>
    <t>Information Technology</t>
  </si>
  <si>
    <t>Management and Commerce</t>
  </si>
  <si>
    <t>Mixed Field Programmes</t>
  </si>
  <si>
    <t>Natural and Physical Sciences</t>
  </si>
  <si>
    <t>Society and Culture</t>
  </si>
  <si>
    <t>Unknown</t>
  </si>
  <si>
    <t>Subject Weighting</t>
  </si>
  <si>
    <t>Unspecified</t>
  </si>
  <si>
    <t>Allocations (tables 1.1-2.5)</t>
  </si>
  <si>
    <t>Research Degree Completions (tables 2.6-3.1)</t>
  </si>
  <si>
    <t>European</t>
  </si>
  <si>
    <t>Maori</t>
  </si>
  <si>
    <t>Pacific People</t>
  </si>
  <si>
    <t>Asian</t>
  </si>
  <si>
    <t>*MELAA refers to Middle Eastern/Latin American/African</t>
  </si>
  <si>
    <t>MELA*</t>
  </si>
  <si>
    <t>Other</t>
  </si>
  <si>
    <r>
      <rPr>
        <b/>
        <sz val="10"/>
        <color theme="1"/>
        <rFont val="Calibri"/>
        <family val="2"/>
        <scheme val="minor"/>
      </rPr>
      <t xml:space="preserve">note: </t>
    </r>
    <r>
      <rPr>
        <sz val="10"/>
        <color theme="1"/>
        <rFont val="Calibri"/>
        <family val="2"/>
        <scheme val="minor"/>
      </rPr>
      <t>up to three ethnicities can be linked to one completion. The 'total' row refers to distinct completions. Therefore column totals do not add to the totals in the 'total' row may add to more than 100%.</t>
    </r>
  </si>
  <si>
    <t>Subject area classifications are derived using course level New Zealand Standard Classification of Education classifications based on course code</t>
  </si>
  <si>
    <t>Total PBRF Completions</t>
  </si>
  <si>
    <t>Field of study</t>
  </si>
  <si>
    <t>Notes</t>
  </si>
  <si>
    <t xml:space="preserve">Te Whare Wānanga o Awanuiārangi    </t>
  </si>
  <si>
    <t xml:space="preserve">Te Whare Wānanga o Awanuiārangi   </t>
  </si>
  <si>
    <t xml:space="preserve">Te Whare Wānanga o Awanuiārangi     </t>
  </si>
  <si>
    <t xml:space="preserve">Te Whare Wānanga o Awanuiārangi       </t>
  </si>
  <si>
    <t>Table Index</t>
  </si>
  <si>
    <t>Table reference</t>
  </si>
  <si>
    <t>Title</t>
  </si>
  <si>
    <t>2014 PBRF funding allocations - by measure</t>
  </si>
  <si>
    <t>Indicative and final funding allocations for 2014</t>
  </si>
  <si>
    <t>External research income 2011 to 2013</t>
  </si>
  <si>
    <t>Research Degree Completions by ethnicity 2010-2013</t>
  </si>
  <si>
    <t>Aggregated Research Degree Completion types by broad field of study and TEO 2010-2013</t>
  </si>
  <si>
    <t>Masters completions by subject weighting and broad field of study 2010-2013</t>
  </si>
  <si>
    <t>Postgraduate Diploma and Honours completions by subject weighting and broad field of study 2010-2013</t>
  </si>
  <si>
    <t>Te Reo research completions 2010-2013</t>
  </si>
  <si>
    <t>Doctoral completions by subject weighting and broad field of study 2010-2013</t>
  </si>
  <si>
    <t>Table 1.1:  2015 PBRF funding allocations - by measure</t>
  </si>
  <si>
    <t>Table 1.2: Final 2014 and final 2015 PBRF funding allocations</t>
  </si>
  <si>
    <t>Total Funding 
2014</t>
  </si>
  <si>
    <t>Total Funding
 2015</t>
  </si>
  <si>
    <t>Table 1.3: Indicative and final funding allocations for 2015</t>
  </si>
  <si>
    <t>Table 1.4: Indicative 2016 PBRF funding allocations - by measure</t>
  </si>
  <si>
    <t>Table 1.5: Indicative 2016 funding compared with final 2015 funding - totals</t>
  </si>
  <si>
    <t>2015 Final Funding</t>
  </si>
  <si>
    <t>2016 Indicative Funding</t>
  </si>
  <si>
    <t>Table 1.6: Final 2014 and final 2015 funding allocations - Quality Evaluation (QE) measure</t>
  </si>
  <si>
    <t>QE Final 
2015</t>
  </si>
  <si>
    <t>Table 1.7: Indicative 2016 funding compared with final 2015 funding - Quality Evaluation (QE) measure</t>
  </si>
  <si>
    <t>Final QE 
funding 2015</t>
  </si>
  <si>
    <t>Indicative QE funding 2016</t>
  </si>
  <si>
    <t>Table 1.8: External research income 2011 to 2013</t>
  </si>
  <si>
    <t>2014</t>
  </si>
  <si>
    <t>Table 1.9: External research income 2012 to 2014</t>
  </si>
  <si>
    <r>
      <t>Change 2012 →</t>
    </r>
    <r>
      <rPr>
        <b/>
        <i/>
        <sz val="9"/>
        <color theme="1"/>
        <rFont val="Calibri"/>
        <family val="2"/>
      </rPr>
      <t xml:space="preserve"> 2013</t>
    </r>
  </si>
  <si>
    <t>Change 2013 → 2014</t>
  </si>
  <si>
    <t>Table 2.0: Final 2014 and final 2015 funding allocations - External Research Income (ERI) measure</t>
  </si>
  <si>
    <t>ERI Final
2015</t>
  </si>
  <si>
    <t>Table: 2.1 Indicative 2016 funding compared with final 2015 funding - External Research Income measure</t>
  </si>
  <si>
    <t xml:space="preserve"> 2015 Final
 Funding</t>
  </si>
  <si>
    <t xml:space="preserve"> 2016 Indicative
 Funding</t>
  </si>
  <si>
    <t>2016
Ratio</t>
  </si>
  <si>
    <t>Table 2.2: Final 2014 and final 2015 funding allocations - Research Degree Completions (RDC) measure</t>
  </si>
  <si>
    <t>RDC Final 
2015</t>
  </si>
  <si>
    <t>Table 2.3: Indicative and final funding allocations for 2015 - Research Degree Completions (RDC) measure</t>
  </si>
  <si>
    <t>RDC 2015 Indicative</t>
  </si>
  <si>
    <t>RDC 2015
 Final</t>
  </si>
  <si>
    <t>Table 2.4: Indicative 2016 funding compared with final 2015 funding - Research Degree Completions measure</t>
  </si>
  <si>
    <t>2016 
Ratio</t>
  </si>
  <si>
    <t>Table 2.5: 2015 PBRF - Quality Evaluation measure funding by Subject area</t>
  </si>
  <si>
    <t>B</t>
  </si>
  <si>
    <t>A</t>
  </si>
  <si>
    <t>Science</t>
  </si>
  <si>
    <t>Computer Science</t>
  </si>
  <si>
    <t>Osteopathy</t>
  </si>
  <si>
    <t xml:space="preserve">Eastern Institute of Technology         </t>
  </si>
  <si>
    <t>Cost weighting</t>
  </si>
  <si>
    <t>Category Code</t>
  </si>
  <si>
    <t>RDC Weighted Count 2015</t>
  </si>
  <si>
    <t>Count of Completions</t>
  </si>
  <si>
    <t>% of Total RDC Weighting</t>
  </si>
  <si>
    <t>Total RDC Funding per Total RDC Weighting</t>
  </si>
  <si>
    <t>I</t>
  </si>
  <si>
    <t>J</t>
  </si>
  <si>
    <t>L</t>
  </si>
  <si>
    <t>V</t>
  </si>
  <si>
    <t xml:space="preserve">C </t>
  </si>
  <si>
    <t>G</t>
  </si>
  <si>
    <t>H</t>
  </si>
  <si>
    <t>M</t>
  </si>
  <si>
    <t>N</t>
  </si>
  <si>
    <t>Post-Grad</t>
  </si>
  <si>
    <t>Course Classification</t>
  </si>
  <si>
    <t>Arts; Advanced Studies for Teachers; Health Therapies; Humanities; Languages; Social Sciences</t>
  </si>
  <si>
    <t>1 Total</t>
  </si>
  <si>
    <t>Fine Arts; Design</t>
  </si>
  <si>
    <t>2 Total</t>
  </si>
  <si>
    <t>Engineering; Technology</t>
  </si>
  <si>
    <t>Health Sciences (excluding classifications #07, #15, and #17)</t>
  </si>
  <si>
    <t>Medicine (Excluding intermediate/first year)</t>
  </si>
  <si>
    <t>2.5 Total</t>
  </si>
  <si>
    <t>Business; Accountancy; Office Systems/Secretarial; Management</t>
  </si>
  <si>
    <t>Music And Performing Arts</t>
  </si>
  <si>
    <t>Teaching: Secondary and Specialist Recognised Degree/Diploma of Teaching.</t>
  </si>
  <si>
    <t>Agriculture,  Horticulture</t>
  </si>
  <si>
    <t>Health Related Professions</t>
  </si>
  <si>
    <t>Priority Engineering</t>
  </si>
  <si>
    <t>Architecture; Quantity Surveying</t>
  </si>
  <si>
    <t>Audiology</t>
  </si>
  <si>
    <t>Dietetics</t>
  </si>
  <si>
    <t>Optometry</t>
  </si>
  <si>
    <t>Specialist Large Animal Science</t>
  </si>
  <si>
    <t>Veterinary (Excluding Intermediate)</t>
  </si>
  <si>
    <t>Final 2014 and final 2015 PBRF funding allocations</t>
  </si>
  <si>
    <t>Indicative 2016 PBRF funding allocations - by measure</t>
  </si>
  <si>
    <t>Indicative 2016 funding compared with final 2015 funding - totals</t>
  </si>
  <si>
    <t>Final 2014 and final 2015 funding allocations - Quality Evaluation (QE) measure</t>
  </si>
  <si>
    <t>Indicative 2016 funding compared with final 2015 funding - Quality Evaluation (QE) measure</t>
  </si>
  <si>
    <t>External research income 2012 to 2014</t>
  </si>
  <si>
    <t>Final 2014 and final 2015 funding allocations - External Research Income (ERI) measure</t>
  </si>
  <si>
    <t>Indicative 2016 funding compared with final 2015 funding - External Research Income measure</t>
  </si>
  <si>
    <t>Final 2014 and final 2015 funding allocations - Research Degree Completions (RDC) measure</t>
  </si>
  <si>
    <t>Indicative and final funding allocations for 2015 - Research Degree Completions (RDC) measure</t>
  </si>
  <si>
    <t>Indicative 2016 funding compared with final 2015 funding - Research Degree Completions measure</t>
  </si>
  <si>
    <t>2015 PBRF - Quality Evaluation measure funding by Subject area</t>
  </si>
  <si>
    <t>2015 RDC Funding by Category Code and Cost Weighting</t>
  </si>
  <si>
    <t>RDC allocations by register level (Masters)</t>
  </si>
  <si>
    <t>RDC allocations by register level (Doctorate)</t>
  </si>
  <si>
    <t>RDC allocations by register level (Postgraduate Diploma and Honours)</t>
  </si>
  <si>
    <t>The Research Degree Completions data is sourced from the Single Data Return (SDR) in November 2016 and is based on the April 2016 SDR.</t>
  </si>
  <si>
    <t>Course Classification Code</t>
  </si>
  <si>
    <t>3.0</t>
  </si>
  <si>
    <t>12.0</t>
  </si>
  <si>
    <t>18.0</t>
  </si>
  <si>
    <t>11.0</t>
  </si>
  <si>
    <t>13.0</t>
  </si>
  <si>
    <t>15.0</t>
  </si>
  <si>
    <t xml:space="preserve">Course Classification </t>
  </si>
  <si>
    <t>Total RDC 2015 Weighting</t>
  </si>
  <si>
    <t>16.0</t>
  </si>
  <si>
    <t>20.0</t>
  </si>
  <si>
    <t>14.0</t>
  </si>
  <si>
    <t>4.0</t>
  </si>
  <si>
    <t>17.0</t>
  </si>
  <si>
    <t>11.1</t>
  </si>
  <si>
    <t>6.0</t>
  </si>
  <si>
    <t>1.0</t>
  </si>
  <si>
    <t>24.0</t>
  </si>
  <si>
    <t>3.1</t>
  </si>
  <si>
    <t>2.0</t>
  </si>
  <si>
    <t>35.0</t>
  </si>
  <si>
    <t>23.0</t>
  </si>
  <si>
    <t>7.0</t>
  </si>
  <si>
    <t>39.0</t>
  </si>
  <si>
    <t>13.1</t>
  </si>
  <si>
    <t>36.0</t>
  </si>
  <si>
    <t>Average funding per RDC</t>
  </si>
  <si>
    <t>Category Code2</t>
  </si>
  <si>
    <t>Accounting and Finance</t>
  </si>
  <si>
    <t>Table 2.6: 2015 RDC Funding by Category and Cost Weighting</t>
  </si>
  <si>
    <t>The allocations data has been sourced from the actual fund payments system and is current as of February 2016. Allocations data from 2010-2015 is final. Data relating to 2016 is indicative and will be finalised in August 2017.</t>
  </si>
  <si>
    <t>volume of research factor (VRF)</t>
  </si>
  <si>
    <r>
      <rPr>
        <b/>
        <sz val="10"/>
        <color theme="1"/>
        <rFont val="Calibri"/>
        <family val="2"/>
        <scheme val="minor"/>
      </rPr>
      <t xml:space="preserve">Note: </t>
    </r>
    <r>
      <rPr>
        <sz val="10"/>
        <color theme="1"/>
        <rFont val="Calibri"/>
        <family val="2"/>
        <scheme val="minor"/>
      </rPr>
      <t>In addition to subject area VRF weightings, other weightings are applied to the RDC data including Māori and Pacific student completion equity weightings, and theses written in Te Reo Māori.  A different weighting is also applied to each year that is used to calculate the funding allocation (RDCs that occurred in 2011 to 2013 are used).  Different values of funding per RDC may reflect differences in these other weighting rather than the subject weightings.</t>
    </r>
  </si>
  <si>
    <t>Table 2.7: 2015 RDC allocations by register level (Doctorate)</t>
  </si>
  <si>
    <t>Table 2.8: 2015 RDC allocations by register level (Masters)</t>
  </si>
  <si>
    <t>Table 2.9: 2015 RDC allocations by register level (Postgraduate Diploma and Honours)</t>
  </si>
  <si>
    <t>Table 3.0: Research Degree Completions by ethnicity 2010-2015</t>
  </si>
  <si>
    <t>Table 3.1: Aggregated Research Degree Completion types by broad field of study and TEO 2010-2015</t>
  </si>
  <si>
    <t>Table 3.2: Doctoral completions by subject weighting and broad field of study 2010-2015</t>
  </si>
  <si>
    <t>Table 3.3: Masters completions by subject weighting and broad field of study 2010-2015</t>
  </si>
  <si>
    <t>Table 3.4: Postgraduate Diploma and Honours completions by subject weighting and broad field of study 2010-2015</t>
  </si>
  <si>
    <t>Table 3.5: Te Reo research completions 2010-2015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</si>
</sst>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quot;$&quot;#,##0_);[Red]_(\(&quot;$&quot;#,##0\);_(* &quot; - &quot;_);_(@_)"/>
    <numFmt numFmtId="165" formatCode="_(0.00%_);\(0.00%\);_(&quot; - &quot;_);_(@_)"/>
    <numFmt numFmtId="166" formatCode="_(&quot;$&quot;#,##0_);\(&quot;$&quot;#,##0\);_(* &quot; - &quot;_);_(@_)"/>
    <numFmt numFmtId="167" formatCode="_(&quot;$&quot;* #,##0.00_);_(&quot;$&quot;* \(#,##0.00\);_(&quot;$&quot;* &quot;-&quot;??_);_(@_)"/>
    <numFmt numFmtId="168" formatCode="0.0000%"/>
    <numFmt numFmtId="169" formatCode="_-&quot;$&quot;* #,##0_-;\-&quot;$&quot;* #,##0_-;_-&quot;$&quot;* &quot;-&quot;??_-;_-@_-"/>
    <numFmt numFmtId="170" formatCode="0.0%"/>
  </numFmts>
  <fonts count="32"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0"/>
      <color theme="1"/>
      <name val="Arial"/>
      <family val="2"/>
    </font>
    <font>
      <b/>
      <i/>
      <sz val="9"/>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color theme="1"/>
      <name val="Tahoma"/>
      <family val="2"/>
    </font>
    <font>
      <b/>
      <i/>
      <sz val="9"/>
      <color theme="1"/>
      <name val="Calibri"/>
      <family val="2"/>
    </font>
    <font>
      <sz val="12"/>
      <color theme="1"/>
      <name val="Calibri"/>
      <family val="2"/>
      <scheme val="minor"/>
    </font>
    <font>
      <sz val="10"/>
      <color rgb="FF000000"/>
      <name val="Calibri"/>
      <family val="2"/>
      <scheme val="minor"/>
    </font>
    <font>
      <sz val="10"/>
      <color theme="1"/>
      <name val="Arial"/>
      <family val="2"/>
    </font>
    <font>
      <sz val="10"/>
      <name val="Arial"/>
      <family val="2"/>
    </font>
    <font>
      <sz val="12"/>
      <name val="Arial"/>
      <family val="2"/>
    </font>
    <font>
      <sz val="8"/>
      <color theme="1"/>
      <name val="Arial"/>
      <family val="2"/>
    </font>
    <font>
      <sz val="10"/>
      <name val="Calibri"/>
      <family val="2"/>
      <scheme val="minor"/>
    </font>
    <font>
      <b/>
      <sz val="10"/>
      <name val="Calibri"/>
      <family val="2"/>
      <scheme val="minor"/>
    </font>
    <font>
      <sz val="11"/>
      <name val="Calibri"/>
      <family val="2"/>
      <scheme val="minor"/>
    </font>
    <font>
      <b/>
      <i/>
      <sz val="8"/>
      <color theme="0"/>
      <name val="Arial"/>
      <family val="2"/>
    </font>
    <font>
      <b/>
      <i/>
      <sz val="9"/>
      <color theme="0"/>
      <name val="Calibri"/>
      <family val="2"/>
      <scheme val="minor"/>
    </font>
    <font>
      <b/>
      <i/>
      <sz val="8"/>
      <color theme="1"/>
      <name val="Calibri"/>
      <family val="2"/>
      <scheme val="minor"/>
    </font>
    <font>
      <b/>
      <i/>
      <sz val="8"/>
      <color theme="1"/>
      <name val="Arial"/>
      <family val="2"/>
    </font>
    <font>
      <sz val="10"/>
      <color rgb="FF000000"/>
      <name val="Calibri"/>
      <family val="2"/>
    </font>
    <font>
      <sz val="11"/>
      <color theme="2"/>
      <name val="Calibri"/>
      <family val="2"/>
      <scheme val="minor"/>
    </font>
    <font>
      <sz val="10"/>
      <color theme="2"/>
      <name val="Calibri"/>
      <family val="2"/>
      <scheme val="minor"/>
    </font>
    <font>
      <sz val="12"/>
      <color rgb="FF000000"/>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s>
  <borders count="9">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theme="0"/>
      </left>
      <right style="thin">
        <color theme="0"/>
      </right>
      <top/>
      <bottom/>
      <diagonal/>
    </border>
  </borders>
  <cellStyleXfs count="65">
    <xf numFmtId="0" fontId="0" fillId="0" borderId="0"/>
    <xf numFmtId="9" fontId="6" fillId="0" borderId="0" applyFont="0" applyFill="0" applyBorder="0" applyAlignment="0" applyProtection="0"/>
    <xf numFmtId="44" fontId="12" fillId="0" borderId="0" applyFont="0" applyFill="0" applyBorder="0" applyAlignment="0" applyProtection="0"/>
    <xf numFmtId="0" fontId="12" fillId="0" borderId="0"/>
    <xf numFmtId="0" fontId="13" fillId="0" borderId="0"/>
    <xf numFmtId="0" fontId="17" fillId="0" borderId="0"/>
    <xf numFmtId="167" fontId="5" fillId="0" borderId="0" applyFont="0" applyFill="0" applyBorder="0" applyAlignment="0" applyProtection="0"/>
    <xf numFmtId="0" fontId="17" fillId="0" borderId="0"/>
    <xf numFmtId="0" fontId="5" fillId="0" borderId="0"/>
    <xf numFmtId="0" fontId="5" fillId="0" borderId="0"/>
    <xf numFmtId="9" fontId="18"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6" fillId="0" borderId="0" applyFont="0" applyFill="0" applyBorder="0" applyAlignment="0" applyProtection="0"/>
    <xf numFmtId="0" fontId="3" fillId="0" borderId="0"/>
    <xf numFmtId="0" fontId="2" fillId="0" borderId="0"/>
    <xf numFmtId="0" fontId="6" fillId="0" borderId="0"/>
    <xf numFmtId="9" fontId="6" fillId="0" borderId="0" applyFont="0" applyFill="0" applyBorder="0" applyAlignment="0" applyProtection="0"/>
    <xf numFmtId="44"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6" fillId="0" borderId="0" applyFont="0" applyFill="0" applyBorder="0" applyAlignment="0" applyProtection="0"/>
    <xf numFmtId="0" fontId="2" fillId="0" borderId="0"/>
    <xf numFmtId="0" fontId="1" fillId="0" borderId="0"/>
    <xf numFmtId="0" fontId="6" fillId="0" borderId="0"/>
    <xf numFmtId="9" fontId="6" fillId="0" borderId="0" applyFont="0" applyFill="0" applyBorder="0" applyAlignment="0" applyProtection="0"/>
    <xf numFmtId="44"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01">
    <xf numFmtId="0" fontId="0" fillId="0" borderId="0" xfId="0"/>
    <xf numFmtId="0" fontId="7" fillId="0" borderId="0" xfId="0" applyFont="1"/>
    <xf numFmtId="0" fontId="8" fillId="0" borderId="0" xfId="0" applyFont="1"/>
    <xf numFmtId="0" fontId="9" fillId="0" borderId="0" xfId="0" applyFont="1" applyBorder="1" applyAlignment="1">
      <alignment horizontal="center" vertical="center" wrapText="1"/>
    </xf>
    <xf numFmtId="0" fontId="10" fillId="0" borderId="0" xfId="0" applyFont="1" applyBorder="1"/>
    <xf numFmtId="164" fontId="10" fillId="0" borderId="0" xfId="0" applyNumberFormat="1" applyFont="1" applyBorder="1"/>
    <xf numFmtId="164" fontId="11" fillId="0" borderId="0" xfId="0" applyNumberFormat="1" applyFont="1" applyBorder="1"/>
    <xf numFmtId="0" fontId="11" fillId="0" borderId="0" xfId="0" applyFont="1" applyBorder="1" applyAlignment="1">
      <alignment horizontal="left"/>
    </xf>
    <xf numFmtId="10" fontId="10" fillId="0" borderId="0" xfId="1" applyNumberFormat="1" applyFont="1" applyBorder="1"/>
    <xf numFmtId="165" fontId="10" fillId="0" borderId="0" xfId="0" applyNumberFormat="1" applyFont="1"/>
    <xf numFmtId="166" fontId="10" fillId="0" borderId="0" xfId="0" applyNumberFormat="1" applyFont="1" applyBorder="1"/>
    <xf numFmtId="166" fontId="11" fillId="0" borderId="0" xfId="0" applyNumberFormat="1" applyFont="1" applyBorder="1"/>
    <xf numFmtId="10" fontId="11" fillId="0" borderId="0" xfId="1" applyNumberFormat="1" applyFont="1" applyBorder="1" applyAlignment="1">
      <alignment horizontal="right"/>
    </xf>
    <xf numFmtId="10" fontId="11" fillId="0" borderId="0" xfId="1" applyNumberFormat="1" applyFont="1" applyBorder="1"/>
    <xf numFmtId="165" fontId="11" fillId="0" borderId="0" xfId="0" applyNumberFormat="1" applyFont="1"/>
    <xf numFmtId="0" fontId="9" fillId="0" borderId="0" xfId="0" applyNumberFormat="1" applyFont="1" applyBorder="1" applyAlignment="1">
      <alignment horizontal="center" vertical="center" wrapText="1"/>
    </xf>
    <xf numFmtId="10" fontId="10" fillId="0" borderId="0" xfId="1" applyNumberFormat="1" applyFont="1" applyBorder="1" applyAlignment="1">
      <alignment horizontal="right"/>
    </xf>
    <xf numFmtId="0" fontId="15" fillId="0" borderId="0" xfId="0" applyFont="1"/>
    <xf numFmtId="0" fontId="16" fillId="0" borderId="0" xfId="0" applyFont="1"/>
    <xf numFmtId="164" fontId="20" fillId="0" borderId="0" xfId="0" applyNumberFormat="1" applyFont="1"/>
    <xf numFmtId="164" fontId="15" fillId="0" borderId="0" xfId="0" applyNumberFormat="1" applyFont="1"/>
    <xf numFmtId="2" fontId="21" fillId="0" borderId="0" xfId="15" applyNumberFormat="1" applyFont="1" applyFill="1"/>
    <xf numFmtId="168" fontId="21" fillId="0" borderId="0" xfId="15" applyNumberFormat="1" applyFont="1" applyFill="1"/>
    <xf numFmtId="169" fontId="21" fillId="0" borderId="0" xfId="16" applyNumberFormat="1" applyFont="1" applyFill="1"/>
    <xf numFmtId="0" fontId="21" fillId="0" borderId="0" xfId="15" applyFont="1" applyFill="1"/>
    <xf numFmtId="0" fontId="22" fillId="0" borderId="0" xfId="15" applyFont="1" applyFill="1"/>
    <xf numFmtId="0" fontId="23" fillId="0" borderId="0" xfId="15" applyFont="1" applyFill="1"/>
    <xf numFmtId="168" fontId="21" fillId="0" borderId="0" xfId="17" applyNumberFormat="1" applyFont="1" applyFill="1"/>
    <xf numFmtId="2" fontId="22" fillId="0" borderId="0" xfId="15" applyNumberFormat="1" applyFont="1" applyFill="1"/>
    <xf numFmtId="168" fontId="22" fillId="0" borderId="0" xfId="17" applyNumberFormat="1" applyFont="1" applyFill="1"/>
    <xf numFmtId="169" fontId="22" fillId="0" borderId="0" xfId="16" applyNumberFormat="1" applyFont="1" applyFill="1"/>
    <xf numFmtId="2" fontId="21" fillId="0" borderId="0" xfId="15" applyNumberFormat="1" applyFont="1" applyFill="1" applyAlignment="1">
      <alignment horizontal="center" vertical="center" wrapText="1"/>
    </xf>
    <xf numFmtId="0" fontId="23" fillId="0" borderId="0" xfId="15" applyFont="1" applyFill="1" applyAlignment="1">
      <alignment horizontal="center" vertical="center" wrapText="1"/>
    </xf>
    <xf numFmtId="168" fontId="21" fillId="0" borderId="0" xfId="17" applyNumberFormat="1" applyFont="1" applyFill="1" applyAlignment="1">
      <alignment horizontal="center" vertical="center" wrapText="1"/>
    </xf>
    <xf numFmtId="169" fontId="21" fillId="0" borderId="0" xfId="16" applyNumberFormat="1" applyFont="1" applyFill="1" applyAlignment="1">
      <alignment horizontal="center" vertical="center" wrapText="1"/>
    </xf>
    <xf numFmtId="0" fontId="21" fillId="0" borderId="0" xfId="15" applyFont="1" applyFill="1" applyAlignment="1">
      <alignment horizontal="center" vertical="center" wrapText="1"/>
    </xf>
    <xf numFmtId="168" fontId="22" fillId="0" borderId="0" xfId="15" applyNumberFormat="1" applyFont="1" applyFill="1"/>
    <xf numFmtId="9" fontId="11" fillId="0" borderId="0" xfId="1" applyFont="1" applyBorder="1"/>
    <xf numFmtId="0" fontId="9" fillId="0" borderId="0" xfId="0" quotePrefix="1" applyFont="1" applyBorder="1" applyAlignment="1">
      <alignment horizontal="center" vertical="center" wrapText="1"/>
    </xf>
    <xf numFmtId="0" fontId="9" fillId="0" borderId="0" xfId="0" quotePrefix="1" applyNumberFormat="1" applyFont="1" applyBorder="1" applyAlignment="1">
      <alignment horizontal="center" vertical="center" wrapText="1"/>
    </xf>
    <xf numFmtId="0" fontId="24"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10" fillId="4" borderId="4" xfId="0" applyFont="1" applyFill="1" applyBorder="1"/>
    <xf numFmtId="0" fontId="10" fillId="4" borderId="5" xfId="0" applyFont="1" applyFill="1" applyBorder="1"/>
    <xf numFmtId="0" fontId="10" fillId="2" borderId="4" xfId="0" applyFont="1" applyFill="1" applyBorder="1"/>
    <xf numFmtId="0" fontId="10" fillId="2" borderId="5" xfId="0" applyFont="1" applyFill="1" applyBorder="1"/>
    <xf numFmtId="0" fontId="25" fillId="3" borderId="2" xfId="0" applyNumberFormat="1" applyFont="1" applyFill="1" applyBorder="1" applyAlignment="1">
      <alignment horizontal="center" vertical="center" wrapText="1"/>
    </xf>
    <xf numFmtId="0" fontId="25" fillId="3" borderId="3" xfId="0" applyNumberFormat="1" applyFont="1" applyFill="1" applyBorder="1" applyAlignment="1">
      <alignment horizontal="center" vertical="center" wrapText="1"/>
    </xf>
    <xf numFmtId="0" fontId="10" fillId="4" borderId="4" xfId="0" applyFont="1" applyFill="1" applyBorder="1" applyAlignment="1">
      <alignment wrapText="1"/>
    </xf>
    <xf numFmtId="0" fontId="10" fillId="2" borderId="4" xfId="0" applyFont="1" applyFill="1" applyBorder="1" applyAlignment="1">
      <alignment wrapText="1"/>
    </xf>
    <xf numFmtId="1" fontId="0" fillId="0" borderId="0" xfId="0" applyNumberFormat="1" applyAlignment="1">
      <alignment wrapText="1"/>
    </xf>
    <xf numFmtId="0" fontId="25" fillId="3" borderId="3" xfId="0" applyFont="1" applyFill="1" applyBorder="1" applyAlignment="1">
      <alignment horizontal="center" vertical="center" wrapText="1"/>
    </xf>
    <xf numFmtId="166" fontId="10" fillId="4" borderId="5" xfId="0" applyNumberFormat="1" applyFont="1" applyFill="1" applyBorder="1"/>
    <xf numFmtId="166" fontId="10" fillId="2" borderId="5" xfId="0" applyNumberFormat="1" applyFont="1" applyFill="1" applyBorder="1"/>
    <xf numFmtId="1" fontId="0" fillId="0" borderId="0" xfId="0" applyNumberFormat="1"/>
    <xf numFmtId="9" fontId="0" fillId="0" borderId="0" xfId="1" applyFont="1"/>
    <xf numFmtId="164" fontId="0" fillId="0" borderId="0" xfId="0" applyNumberFormat="1"/>
    <xf numFmtId="0" fontId="15" fillId="0" borderId="0" xfId="0" applyFont="1" applyBorder="1"/>
    <xf numFmtId="164" fontId="15" fillId="0" borderId="0" xfId="0" applyNumberFormat="1" applyFont="1" applyBorder="1"/>
    <xf numFmtId="10" fontId="15" fillId="0" borderId="0" xfId="1" applyNumberFormat="1" applyFont="1" applyBorder="1"/>
    <xf numFmtId="10" fontId="15" fillId="0" borderId="0" xfId="0" applyNumberFormat="1" applyFont="1" applyBorder="1"/>
    <xf numFmtId="0" fontId="0" fillId="0" borderId="0" xfId="0" applyBorder="1"/>
    <xf numFmtId="164" fontId="0" fillId="0" borderId="0" xfId="0" applyNumberFormat="1" applyBorder="1"/>
    <xf numFmtId="170" fontId="0" fillId="0" borderId="0" xfId="1" applyNumberFormat="1" applyFont="1" applyBorder="1"/>
    <xf numFmtId="10" fontId="0" fillId="0" borderId="0" xfId="1" applyNumberFormat="1" applyFont="1" applyBorder="1"/>
    <xf numFmtId="170" fontId="0" fillId="0" borderId="0" xfId="0" applyNumberFormat="1" applyBorder="1"/>
    <xf numFmtId="1" fontId="0" fillId="0" borderId="0" xfId="0" applyNumberFormat="1" applyBorder="1"/>
    <xf numFmtId="9" fontId="0" fillId="0" borderId="0" xfId="1" applyFont="1" applyFill="1" applyBorder="1"/>
    <xf numFmtId="0" fontId="10" fillId="2" borderId="4" xfId="0" applyFont="1" applyFill="1" applyBorder="1" applyAlignment="1">
      <alignment vertical="top" wrapText="1" readingOrder="1"/>
    </xf>
    <xf numFmtId="0" fontId="10" fillId="2" borderId="5" xfId="0" applyFont="1" applyFill="1" applyBorder="1" applyAlignment="1">
      <alignment vertical="top" wrapText="1" readingOrder="1"/>
    </xf>
    <xf numFmtId="164" fontId="10" fillId="2" borderId="5" xfId="0" applyNumberFormat="1" applyFont="1" applyFill="1" applyBorder="1" applyAlignment="1">
      <alignment vertical="top" wrapText="1" readingOrder="1"/>
    </xf>
    <xf numFmtId="1" fontId="10" fillId="2" borderId="5" xfId="0" applyNumberFormat="1" applyFont="1" applyFill="1" applyBorder="1" applyAlignment="1">
      <alignment vertical="top" wrapText="1" readingOrder="1"/>
    </xf>
    <xf numFmtId="1" fontId="10" fillId="2" borderId="4" xfId="0" applyNumberFormat="1" applyFont="1" applyFill="1" applyBorder="1" applyAlignment="1">
      <alignment vertical="top" wrapText="1" readingOrder="1"/>
    </xf>
    <xf numFmtId="0" fontId="10" fillId="4" borderId="4" xfId="0" applyFont="1" applyFill="1" applyBorder="1" applyAlignment="1">
      <alignment vertical="top" wrapText="1" readingOrder="1"/>
    </xf>
    <xf numFmtId="0" fontId="10" fillId="4" borderId="5" xfId="0" applyFont="1" applyFill="1" applyBorder="1" applyAlignment="1">
      <alignment vertical="top" wrapText="1" readingOrder="1"/>
    </xf>
    <xf numFmtId="164" fontId="10" fillId="4" borderId="5" xfId="0" applyNumberFormat="1" applyFont="1" applyFill="1" applyBorder="1" applyAlignment="1">
      <alignment vertical="top" wrapText="1" readingOrder="1"/>
    </xf>
    <xf numFmtId="1" fontId="10" fillId="4" borderId="5" xfId="0" applyNumberFormat="1" applyFont="1" applyFill="1" applyBorder="1" applyAlignment="1">
      <alignment vertical="top" wrapText="1" readingOrder="1"/>
    </xf>
    <xf numFmtId="1" fontId="10" fillId="4" borderId="4" xfId="0" applyNumberFormat="1" applyFont="1" applyFill="1" applyBorder="1" applyAlignment="1">
      <alignment vertical="top" wrapText="1" readingOrder="1"/>
    </xf>
    <xf numFmtId="0" fontId="25" fillId="3" borderId="1" xfId="0" applyFont="1" applyFill="1" applyBorder="1" applyAlignment="1">
      <alignment horizontal="center" vertical="center" wrapText="1"/>
    </xf>
    <xf numFmtId="0" fontId="0" fillId="0" borderId="7" xfId="0" applyBorder="1"/>
    <xf numFmtId="0" fontId="11" fillId="4" borderId="4" xfId="0" applyFont="1" applyFill="1" applyBorder="1"/>
    <xf numFmtId="0" fontId="11" fillId="4" borderId="5" xfId="0" applyFont="1" applyFill="1" applyBorder="1"/>
    <xf numFmtId="1" fontId="11" fillId="4" borderId="4" xfId="0" applyNumberFormat="1" applyFont="1" applyFill="1" applyBorder="1" applyAlignment="1">
      <alignment vertical="top" wrapText="1" readingOrder="1"/>
    </xf>
    <xf numFmtId="0" fontId="10" fillId="0" borderId="0" xfId="0" applyFont="1"/>
    <xf numFmtId="3" fontId="10" fillId="0" borderId="0" xfId="0" applyNumberFormat="1" applyFont="1"/>
    <xf numFmtId="0" fontId="25" fillId="3" borderId="8" xfId="0" applyFont="1" applyFill="1" applyBorder="1" applyAlignment="1">
      <alignment horizontal="center" vertical="center" wrapText="1"/>
    </xf>
    <xf numFmtId="0" fontId="27" fillId="0" borderId="0" xfId="0" applyFont="1" applyAlignment="1">
      <alignment horizontal="center" vertical="center" wrapText="1"/>
    </xf>
    <xf numFmtId="0" fontId="0" fillId="0" borderId="0" xfId="0" applyNumberFormat="1"/>
    <xf numFmtId="0" fontId="10" fillId="0" borderId="0" xfId="0" applyNumberFormat="1" applyFont="1"/>
    <xf numFmtId="0" fontId="11" fillId="0" borderId="0" xfId="0" applyNumberFormat="1" applyFont="1"/>
    <xf numFmtId="0" fontId="8" fillId="0" borderId="0" xfId="0" applyNumberFormat="1" applyFont="1"/>
    <xf numFmtId="0" fontId="27" fillId="0" borderId="0" xfId="0" applyNumberFormat="1" applyFont="1" applyBorder="1" applyAlignment="1">
      <alignment horizontal="center" vertical="center" wrapText="1"/>
    </xf>
    <xf numFmtId="0" fontId="11" fillId="0" borderId="0" xfId="0" applyNumberFormat="1" applyFont="1" applyBorder="1"/>
    <xf numFmtId="1" fontId="15" fillId="0" borderId="0" xfId="0" applyNumberFormat="1" applyFont="1"/>
    <xf numFmtId="1" fontId="26" fillId="0" borderId="0" xfId="0" applyNumberFormat="1" applyFont="1" applyAlignment="1">
      <alignment horizontal="center" vertical="center" wrapText="1"/>
    </xf>
    <xf numFmtId="1" fontId="10" fillId="0" borderId="0" xfId="0" applyNumberFormat="1" applyFont="1"/>
    <xf numFmtId="164" fontId="11" fillId="0" borderId="0" xfId="0" applyNumberFormat="1" applyFont="1"/>
    <xf numFmtId="0" fontId="28" fillId="0" borderId="0" xfId="0" applyFont="1"/>
    <xf numFmtId="44" fontId="10" fillId="2" borderId="5" xfId="18" applyFont="1" applyFill="1" applyBorder="1"/>
    <xf numFmtId="0" fontId="29" fillId="0" borderId="0" xfId="15" applyFont="1" applyFill="1"/>
    <xf numFmtId="169" fontId="29" fillId="0" borderId="0" xfId="15" applyNumberFormat="1" applyFont="1" applyFill="1"/>
    <xf numFmtId="2" fontId="30" fillId="0" borderId="0" xfId="15" applyNumberFormat="1" applyFont="1" applyFill="1"/>
    <xf numFmtId="168" fontId="30" fillId="0" borderId="0" xfId="17" applyNumberFormat="1" applyFont="1" applyFill="1"/>
    <xf numFmtId="169" fontId="30" fillId="0" borderId="0" xfId="16" applyNumberFormat="1" applyFont="1" applyFill="1"/>
    <xf numFmtId="0" fontId="30" fillId="0" borderId="0" xfId="15" applyFont="1" applyFill="1"/>
    <xf numFmtId="170" fontId="0" fillId="0" borderId="0" xfId="1" applyNumberFormat="1" applyFont="1"/>
    <xf numFmtId="1" fontId="10" fillId="2" borderId="0" xfId="0" applyNumberFormat="1" applyFont="1" applyFill="1" applyBorder="1" applyAlignment="1">
      <alignment vertical="top" wrapText="1" readingOrder="1"/>
    </xf>
    <xf numFmtId="3" fontId="2" fillId="0" borderId="0" xfId="24" applyNumberFormat="1"/>
    <xf numFmtId="3" fontId="10" fillId="2" borderId="5" xfId="0" applyNumberFormat="1" applyFont="1" applyFill="1" applyBorder="1" applyAlignment="1">
      <alignment vertical="top" wrapText="1" readingOrder="1"/>
    </xf>
    <xf numFmtId="3" fontId="10" fillId="2" borderId="4" xfId="0" applyNumberFormat="1" applyFont="1" applyFill="1" applyBorder="1" applyAlignment="1">
      <alignment vertical="top" wrapText="1" readingOrder="1"/>
    </xf>
    <xf numFmtId="3" fontId="10" fillId="4" borderId="5" xfId="0" applyNumberFormat="1" applyFont="1" applyFill="1" applyBorder="1" applyAlignment="1">
      <alignment vertical="top" wrapText="1" readingOrder="1"/>
    </xf>
    <xf numFmtId="3" fontId="10" fillId="4" borderId="4" xfId="0" applyNumberFormat="1" applyFont="1" applyFill="1" applyBorder="1" applyAlignment="1">
      <alignment vertical="top" wrapText="1" readingOrder="1"/>
    </xf>
    <xf numFmtId="0" fontId="24" fillId="3" borderId="1" xfId="21" applyFont="1" applyFill="1" applyBorder="1" applyAlignment="1">
      <alignment horizontal="center" vertical="center" wrapText="1"/>
    </xf>
    <xf numFmtId="0" fontId="25" fillId="3" borderId="2" xfId="21" applyFont="1" applyFill="1" applyBorder="1" applyAlignment="1">
      <alignment horizontal="center" vertical="center" wrapText="1"/>
    </xf>
    <xf numFmtId="1" fontId="10" fillId="4" borderId="5" xfId="21" applyNumberFormat="1" applyFont="1" applyFill="1" applyBorder="1" applyAlignment="1">
      <alignment vertical="top" wrapText="1"/>
    </xf>
    <xf numFmtId="1" fontId="10" fillId="2" borderId="5" xfId="21" applyNumberFormat="1" applyFont="1" applyFill="1" applyBorder="1" applyAlignment="1">
      <alignment vertical="top" wrapText="1"/>
    </xf>
    <xf numFmtId="0" fontId="10" fillId="4" borderId="4" xfId="21" applyFont="1" applyFill="1" applyBorder="1" applyAlignment="1">
      <alignment vertical="top" wrapText="1"/>
    </xf>
    <xf numFmtId="0" fontId="10" fillId="4" borderId="5" xfId="21" applyFont="1" applyFill="1" applyBorder="1" applyAlignment="1">
      <alignment vertical="top" wrapText="1"/>
    </xf>
    <xf numFmtId="164" fontId="10" fillId="4" borderId="5" xfId="21" applyNumberFormat="1" applyFont="1" applyFill="1" applyBorder="1" applyAlignment="1">
      <alignment vertical="top" wrapText="1"/>
    </xf>
    <xf numFmtId="1" fontId="10" fillId="4" borderId="5" xfId="21" applyNumberFormat="1" applyFont="1" applyFill="1" applyBorder="1" applyAlignment="1">
      <alignment vertical="top" wrapText="1"/>
    </xf>
    <xf numFmtId="1" fontId="10" fillId="4" borderId="6" xfId="21" applyNumberFormat="1" applyFont="1" applyFill="1" applyBorder="1" applyAlignment="1">
      <alignment vertical="top" wrapText="1"/>
    </xf>
    <xf numFmtId="1" fontId="10" fillId="4" borderId="4" xfId="21" applyNumberFormat="1" applyFont="1" applyFill="1" applyBorder="1" applyAlignment="1">
      <alignment vertical="top" wrapText="1"/>
    </xf>
    <xf numFmtId="0" fontId="10" fillId="2" borderId="4" xfId="21" applyFont="1" applyFill="1" applyBorder="1" applyAlignment="1">
      <alignment vertical="top" wrapText="1"/>
    </xf>
    <xf numFmtId="0" fontId="10" fillId="2" borderId="5" xfId="21" applyFont="1" applyFill="1" applyBorder="1" applyAlignment="1">
      <alignment vertical="top" wrapText="1"/>
    </xf>
    <xf numFmtId="164" fontId="10" fillId="2" borderId="5" xfId="21" applyNumberFormat="1" applyFont="1" applyFill="1" applyBorder="1" applyAlignment="1">
      <alignment vertical="top" wrapText="1"/>
    </xf>
    <xf numFmtId="1" fontId="10" fillId="2" borderId="5" xfId="21" applyNumberFormat="1" applyFont="1" applyFill="1" applyBorder="1" applyAlignment="1">
      <alignment vertical="top" wrapText="1"/>
    </xf>
    <xf numFmtId="1" fontId="10" fillId="2" borderId="6" xfId="21" applyNumberFormat="1" applyFont="1" applyFill="1" applyBorder="1" applyAlignment="1">
      <alignment vertical="top" wrapText="1"/>
    </xf>
    <xf numFmtId="1" fontId="10" fillId="2" borderId="4" xfId="21" applyNumberFormat="1" applyFont="1" applyFill="1" applyBorder="1" applyAlignment="1">
      <alignment vertical="top" wrapText="1"/>
    </xf>
    <xf numFmtId="0" fontId="24" fillId="3" borderId="1" xfId="21" applyFont="1" applyFill="1" applyBorder="1" applyAlignment="1">
      <alignment horizontal="center" vertical="top" wrapText="1"/>
    </xf>
    <xf numFmtId="0" fontId="25" fillId="3" borderId="2" xfId="21" applyFont="1" applyFill="1" applyBorder="1" applyAlignment="1">
      <alignment horizontal="center" vertical="top" wrapText="1"/>
    </xf>
    <xf numFmtId="1" fontId="11" fillId="4" borderId="4" xfId="21" applyNumberFormat="1" applyFont="1" applyFill="1" applyBorder="1" applyAlignment="1">
      <alignment vertical="top" wrapText="1"/>
    </xf>
    <xf numFmtId="1" fontId="11" fillId="4" borderId="5" xfId="21" applyNumberFormat="1" applyFont="1" applyFill="1" applyBorder="1" applyAlignment="1">
      <alignment vertical="top" wrapText="1"/>
    </xf>
    <xf numFmtId="0" fontId="11" fillId="4" borderId="4" xfId="21" applyFont="1" applyFill="1" applyBorder="1" applyAlignment="1">
      <alignment vertical="top" wrapText="1"/>
    </xf>
    <xf numFmtId="0" fontId="11" fillId="4" borderId="5" xfId="21" applyFont="1" applyFill="1" applyBorder="1" applyAlignment="1">
      <alignment vertical="top" wrapText="1"/>
    </xf>
    <xf numFmtId="164" fontId="11" fillId="4" borderId="5" xfId="21" applyNumberFormat="1" applyFont="1" applyFill="1" applyBorder="1" applyAlignment="1">
      <alignment vertical="top" wrapText="1"/>
    </xf>
    <xf numFmtId="1" fontId="11" fillId="4" borderId="6" xfId="21" applyNumberFormat="1" applyFont="1" applyFill="1" applyBorder="1" applyAlignment="1">
      <alignment vertical="top" wrapText="1"/>
    </xf>
    <xf numFmtId="1" fontId="10" fillId="4" borderId="5" xfId="21" applyNumberFormat="1" applyFont="1" applyFill="1" applyBorder="1" applyAlignment="1">
      <alignment vertical="top" wrapText="1"/>
    </xf>
    <xf numFmtId="1" fontId="10" fillId="4" borderId="6" xfId="21" applyNumberFormat="1" applyFont="1" applyFill="1" applyBorder="1" applyAlignment="1">
      <alignment vertical="top" wrapText="1"/>
    </xf>
    <xf numFmtId="1" fontId="10" fillId="4" borderId="4" xfId="21" applyNumberFormat="1" applyFont="1" applyFill="1" applyBorder="1" applyAlignment="1">
      <alignment vertical="top" wrapText="1"/>
    </xf>
    <xf numFmtId="1" fontId="10" fillId="2" borderId="5" xfId="21" applyNumberFormat="1" applyFont="1" applyFill="1" applyBorder="1" applyAlignment="1">
      <alignment vertical="top" wrapText="1"/>
    </xf>
    <xf numFmtId="1" fontId="10" fillId="2" borderId="6" xfId="21" applyNumberFormat="1" applyFont="1" applyFill="1" applyBorder="1" applyAlignment="1">
      <alignment vertical="top" wrapText="1"/>
    </xf>
    <xf numFmtId="1" fontId="10" fillId="2" borderId="4" xfId="21" applyNumberFormat="1" applyFont="1" applyFill="1" applyBorder="1" applyAlignment="1">
      <alignment vertical="top" wrapText="1"/>
    </xf>
    <xf numFmtId="0" fontId="24" fillId="3" borderId="1" xfId="21" applyFont="1" applyFill="1" applyBorder="1" applyAlignment="1">
      <alignment horizontal="center" vertical="top" wrapText="1"/>
    </xf>
    <xf numFmtId="0" fontId="25" fillId="3" borderId="2" xfId="21" applyFont="1" applyFill="1" applyBorder="1" applyAlignment="1">
      <alignment horizontal="center" vertical="top" wrapText="1"/>
    </xf>
    <xf numFmtId="0" fontId="25" fillId="3" borderId="1" xfId="0" applyFont="1" applyFill="1" applyBorder="1" applyAlignment="1">
      <alignment horizontal="center" vertical="top" wrapText="1"/>
    </xf>
    <xf numFmtId="0" fontId="25" fillId="3" borderId="2" xfId="0" applyFont="1" applyFill="1" applyBorder="1" applyAlignment="1">
      <alignment horizontal="center" vertical="top" wrapText="1"/>
    </xf>
    <xf numFmtId="0" fontId="25" fillId="3" borderId="2" xfId="0" applyNumberFormat="1" applyFont="1" applyFill="1" applyBorder="1" applyAlignment="1">
      <alignment horizontal="center" vertical="top" wrapText="1"/>
    </xf>
    <xf numFmtId="164" fontId="10" fillId="4" borderId="5" xfId="0" applyNumberFormat="1" applyFont="1" applyFill="1" applyBorder="1" applyAlignment="1">
      <alignment horizontal="right"/>
    </xf>
    <xf numFmtId="164" fontId="10" fillId="2" borderId="5" xfId="0" applyNumberFormat="1" applyFont="1" applyFill="1" applyBorder="1" applyAlignment="1">
      <alignment horizontal="right"/>
    </xf>
    <xf numFmtId="164" fontId="11" fillId="4" borderId="5" xfId="0" applyNumberFormat="1" applyFont="1" applyFill="1" applyBorder="1" applyAlignment="1">
      <alignment horizontal="right"/>
    </xf>
    <xf numFmtId="164" fontId="11" fillId="2" borderId="5" xfId="0" applyNumberFormat="1" applyFont="1" applyFill="1" applyBorder="1" applyAlignment="1">
      <alignment horizontal="right"/>
    </xf>
    <xf numFmtId="0" fontId="11" fillId="2" borderId="4" xfId="0" applyFont="1" applyFill="1" applyBorder="1"/>
    <xf numFmtId="0" fontId="10" fillId="0" borderId="0" xfId="0" applyFont="1" applyAlignment="1">
      <alignment vertical="top"/>
    </xf>
    <xf numFmtId="0" fontId="7" fillId="0" borderId="0" xfId="0" applyFont="1" applyFill="1" applyAlignment="1">
      <alignment vertical="top" wrapText="1"/>
    </xf>
    <xf numFmtId="0" fontId="0" fillId="0" borderId="0" xfId="0" applyFill="1"/>
    <xf numFmtId="0" fontId="0" fillId="0" borderId="0" xfId="0" applyFill="1" applyAlignment="1">
      <alignment vertical="top" wrapText="1"/>
    </xf>
    <xf numFmtId="0" fontId="25" fillId="0" borderId="1" xfId="0" applyFont="1" applyFill="1" applyBorder="1" applyAlignment="1">
      <alignment vertical="top" wrapText="1"/>
    </xf>
    <xf numFmtId="0" fontId="25" fillId="0" borderId="2" xfId="0" applyFont="1" applyFill="1" applyBorder="1" applyAlignment="1">
      <alignment vertical="top" wrapText="1"/>
    </xf>
    <xf numFmtId="0" fontId="10" fillId="0" borderId="4" xfId="0" applyFont="1" applyFill="1" applyBorder="1" applyAlignment="1">
      <alignment vertical="top" wrapText="1"/>
    </xf>
    <xf numFmtId="164" fontId="10" fillId="0" borderId="5" xfId="0" applyNumberFormat="1" applyFont="1" applyFill="1" applyBorder="1" applyAlignment="1">
      <alignment vertical="top" wrapText="1"/>
    </xf>
    <xf numFmtId="0" fontId="10" fillId="0" borderId="0" xfId="0" applyFont="1" applyFill="1"/>
    <xf numFmtId="0" fontId="7" fillId="0" borderId="0" xfId="0" applyFont="1" applyFill="1"/>
    <xf numFmtId="0" fontId="31" fillId="0" borderId="0" xfId="0" applyFont="1" applyFill="1" applyAlignment="1">
      <alignment vertical="top" wrapText="1"/>
    </xf>
    <xf numFmtId="0" fontId="10" fillId="4" borderId="4" xfId="0" applyFont="1" applyFill="1" applyBorder="1" applyAlignment="1">
      <alignment vertical="top" wrapText="1"/>
    </xf>
    <xf numFmtId="0" fontId="10" fillId="2" borderId="4" xfId="0" applyFont="1" applyFill="1" applyBorder="1" applyAlignment="1">
      <alignment vertical="top" wrapText="1"/>
    </xf>
    <xf numFmtId="0" fontId="11" fillId="2" borderId="4" xfId="0" applyFont="1" applyFill="1" applyBorder="1" applyAlignment="1">
      <alignment vertical="top" wrapText="1"/>
    </xf>
    <xf numFmtId="0" fontId="11" fillId="4" borderId="4" xfId="0" applyFont="1" applyFill="1" applyBorder="1" applyAlignment="1">
      <alignment vertical="top" wrapText="1"/>
    </xf>
    <xf numFmtId="2" fontId="10" fillId="4" borderId="5" xfId="21" applyNumberFormat="1" applyFont="1" applyFill="1" applyBorder="1" applyAlignment="1">
      <alignment vertical="top" wrapText="1"/>
    </xf>
    <xf numFmtId="2" fontId="10" fillId="2" borderId="5" xfId="21" applyNumberFormat="1" applyFont="1" applyFill="1" applyBorder="1" applyAlignment="1">
      <alignment vertical="top" wrapText="1"/>
    </xf>
    <xf numFmtId="1" fontId="11" fillId="2" borderId="4" xfId="21" applyNumberFormat="1" applyFont="1" applyFill="1" applyBorder="1" applyAlignment="1">
      <alignment vertical="top" wrapText="1"/>
    </xf>
    <xf numFmtId="1" fontId="11" fillId="2" borderId="5" xfId="21" applyNumberFormat="1" applyFont="1" applyFill="1" applyBorder="1" applyAlignment="1">
      <alignment vertical="top" wrapText="1"/>
    </xf>
    <xf numFmtId="2" fontId="11" fillId="2" borderId="5" xfId="21" applyNumberFormat="1" applyFont="1" applyFill="1" applyBorder="1" applyAlignment="1">
      <alignment vertical="top" wrapText="1"/>
    </xf>
    <xf numFmtId="1" fontId="11" fillId="2" borderId="6" xfId="21" applyNumberFormat="1" applyFont="1" applyFill="1" applyBorder="1" applyAlignment="1">
      <alignment vertical="top" wrapText="1"/>
    </xf>
    <xf numFmtId="164" fontId="10" fillId="4" borderId="5" xfId="0" applyNumberFormat="1" applyFont="1" applyFill="1" applyBorder="1" applyAlignment="1">
      <alignment horizontal="right" vertical="top"/>
    </xf>
    <xf numFmtId="164" fontId="10" fillId="2" borderId="5" xfId="0" applyNumberFormat="1" applyFont="1" applyFill="1" applyBorder="1" applyAlignment="1">
      <alignment horizontal="right" vertical="top"/>
    </xf>
    <xf numFmtId="164" fontId="11" fillId="2" borderId="5" xfId="0" applyNumberFormat="1" applyFont="1" applyFill="1" applyBorder="1" applyAlignment="1">
      <alignment horizontal="right" vertical="top"/>
    </xf>
    <xf numFmtId="2" fontId="11" fillId="4" borderId="5" xfId="21" applyNumberFormat="1" applyFont="1" applyFill="1" applyBorder="1" applyAlignment="1">
      <alignment vertical="top" wrapText="1"/>
    </xf>
    <xf numFmtId="164" fontId="11" fillId="4" borderId="5" xfId="0" applyNumberFormat="1" applyFont="1" applyFill="1" applyBorder="1" applyAlignment="1">
      <alignment horizontal="right" vertical="top"/>
    </xf>
    <xf numFmtId="10" fontId="10" fillId="4" borderId="4" xfId="1" applyNumberFormat="1" applyFont="1" applyFill="1" applyBorder="1" applyAlignment="1">
      <alignment horizontal="right"/>
    </xf>
    <xf numFmtId="10" fontId="10" fillId="2" borderId="4" xfId="1" applyNumberFormat="1" applyFont="1" applyFill="1" applyBorder="1" applyAlignment="1">
      <alignment horizontal="right"/>
    </xf>
    <xf numFmtId="10" fontId="11" fillId="4" borderId="4" xfId="1" applyNumberFormat="1" applyFont="1" applyFill="1" applyBorder="1" applyAlignment="1">
      <alignment horizontal="right"/>
    </xf>
    <xf numFmtId="10" fontId="11" fillId="2" borderId="4" xfId="1" applyNumberFormat="1" applyFont="1" applyFill="1" applyBorder="1" applyAlignment="1">
      <alignment horizontal="right"/>
    </xf>
    <xf numFmtId="0" fontId="0" fillId="0" borderId="0" xfId="0" applyAlignment="1">
      <alignment wrapText="1"/>
    </xf>
    <xf numFmtId="10" fontId="10" fillId="4" borderId="5" xfId="1" applyNumberFormat="1" applyFont="1" applyFill="1" applyBorder="1" applyAlignment="1">
      <alignment vertical="top" wrapText="1"/>
    </xf>
    <xf numFmtId="10" fontId="10" fillId="2" borderId="5" xfId="1" applyNumberFormat="1" applyFont="1" applyFill="1" applyBorder="1" applyAlignment="1">
      <alignment vertical="top" wrapText="1"/>
    </xf>
    <xf numFmtId="10" fontId="11" fillId="4" borderId="5" xfId="1" applyNumberFormat="1" applyFont="1" applyFill="1" applyBorder="1" applyAlignment="1">
      <alignment vertical="top" wrapText="1"/>
    </xf>
    <xf numFmtId="10" fontId="11" fillId="2" borderId="5" xfId="1" applyNumberFormat="1" applyFont="1" applyFill="1" applyBorder="1" applyAlignment="1">
      <alignment vertical="top" wrapText="1"/>
    </xf>
    <xf numFmtId="0" fontId="11" fillId="2" borderId="4" xfId="0" applyFont="1" applyFill="1" applyBorder="1" applyAlignment="1">
      <alignment vertical="top" wrapText="1" readingOrder="1"/>
    </xf>
    <xf numFmtId="0" fontId="11" fillId="2" borderId="5" xfId="0" applyFont="1" applyFill="1" applyBorder="1" applyAlignment="1">
      <alignment vertical="top" wrapText="1" readingOrder="1"/>
    </xf>
    <xf numFmtId="164" fontId="11" fillId="2" borderId="5" xfId="0" applyNumberFormat="1" applyFont="1" applyFill="1" applyBorder="1" applyAlignment="1">
      <alignment vertical="top" wrapText="1" readingOrder="1"/>
    </xf>
    <xf numFmtId="3" fontId="11" fillId="2" borderId="5" xfId="0" applyNumberFormat="1" applyFont="1" applyFill="1" applyBorder="1" applyAlignment="1">
      <alignment vertical="top" wrapText="1" readingOrder="1"/>
    </xf>
    <xf numFmtId="3" fontId="11" fillId="2" borderId="4" xfId="0" applyNumberFormat="1" applyFont="1" applyFill="1" applyBorder="1" applyAlignment="1">
      <alignment vertical="top" wrapText="1" readingOrder="1"/>
    </xf>
    <xf numFmtId="1" fontId="11" fillId="2" borderId="4" xfId="0" applyNumberFormat="1" applyFont="1" applyFill="1" applyBorder="1" applyAlignment="1">
      <alignment vertical="top" wrapText="1" readingOrder="1"/>
    </xf>
    <xf numFmtId="1" fontId="11" fillId="2" borderId="5" xfId="0" applyNumberFormat="1" applyFont="1" applyFill="1" applyBorder="1" applyAlignment="1">
      <alignment vertical="top" wrapText="1" readingOrder="1"/>
    </xf>
    <xf numFmtId="0" fontId="0" fillId="0" borderId="0" xfId="0" applyFill="1" applyAlignment="1"/>
    <xf numFmtId="0" fontId="10" fillId="0" borderId="0" xfId="0" applyFont="1" applyAlignment="1">
      <alignment vertical="top" wrapText="1"/>
    </xf>
    <xf numFmtId="0" fontId="0" fillId="0" borderId="0" xfId="0" applyAlignment="1">
      <alignment vertical="top" wrapText="1"/>
    </xf>
    <xf numFmtId="0" fontId="7" fillId="0" borderId="0" xfId="0" applyFont="1" applyAlignment="1"/>
    <xf numFmtId="0" fontId="0" fillId="0" borderId="0" xfId="0" applyAlignment="1"/>
    <xf numFmtId="0" fontId="7" fillId="0" borderId="0" xfId="0" applyFont="1" applyAlignment="1">
      <alignment wrapText="1"/>
    </xf>
    <xf numFmtId="0" fontId="0" fillId="0" borderId="0" xfId="0" applyAlignment="1">
      <alignment wrapText="1"/>
    </xf>
  </cellXfs>
  <cellStyles count="65">
    <cellStyle name="Currency" xfId="18" builtinId="4"/>
    <cellStyle name="Currency 2" xfId="2"/>
    <cellStyle name="Currency 2 2" xfId="23"/>
    <cellStyle name="Currency 2 2 2" xfId="53"/>
    <cellStyle name="Currency 2 3" xfId="39"/>
    <cellStyle name="Currency 3" xfId="6"/>
    <cellStyle name="Currency 3 2" xfId="25"/>
    <cellStyle name="Currency 3 2 2" xfId="55"/>
    <cellStyle name="Currency 3 3" xfId="41"/>
    <cellStyle name="Currency 4" xfId="16"/>
    <cellStyle name="Currency 4 2" xfId="32"/>
    <cellStyle name="Currency 4 2 2" xfId="62"/>
    <cellStyle name="Currency 4 3" xfId="48"/>
    <cellStyle name="Currency 5" xfId="34"/>
    <cellStyle name="Currency 6" xfId="50"/>
    <cellStyle name="Normal" xfId="0" builtinId="0"/>
    <cellStyle name="Normal 10" xfId="36"/>
    <cellStyle name="Normal 2" xfId="3"/>
    <cellStyle name="Normal 2 2" xfId="4"/>
    <cellStyle name="Normal 2 3" xfId="7"/>
    <cellStyle name="Normal 2 4" xfId="24"/>
    <cellStyle name="Normal 2 4 2" xfId="54"/>
    <cellStyle name="Normal 2 5" xfId="40"/>
    <cellStyle name="Normal 3" xfId="5"/>
    <cellStyle name="Normal 4" xfId="8"/>
    <cellStyle name="Normal 4 2" xfId="26"/>
    <cellStyle name="Normal 4 2 2" xfId="56"/>
    <cellStyle name="Normal 4 3" xfId="42"/>
    <cellStyle name="Normal 5" xfId="9"/>
    <cellStyle name="Normal 5 2" xfId="19"/>
    <cellStyle name="Normal 5 2 2" xfId="35"/>
    <cellStyle name="Normal 5 2 2 2" xfId="64"/>
    <cellStyle name="Normal 5 2 3" xfId="51"/>
    <cellStyle name="Normal 5 3" xfId="27"/>
    <cellStyle name="Normal 5 3 2" xfId="57"/>
    <cellStyle name="Normal 5 4" xfId="43"/>
    <cellStyle name="Normal 6" xfId="15"/>
    <cellStyle name="Normal 6 2" xfId="31"/>
    <cellStyle name="Normal 6 2 2" xfId="61"/>
    <cellStyle name="Normal 6 3" xfId="47"/>
    <cellStyle name="Normal 7" xfId="20"/>
    <cellStyle name="Normal 7 2" xfId="52"/>
    <cellStyle name="Normal 8" xfId="21"/>
    <cellStyle name="Normal 9" xfId="37"/>
    <cellStyle name="Percent" xfId="1" builtinId="5"/>
    <cellStyle name="Percent 2" xfId="10"/>
    <cellStyle name="Percent 3" xfId="11"/>
    <cellStyle name="Percent 4" xfId="12"/>
    <cellStyle name="Percent 4 2" xfId="28"/>
    <cellStyle name="Percent 4 2 2" xfId="58"/>
    <cellStyle name="Percent 4 3" xfId="44"/>
    <cellStyle name="Percent 5" xfId="13"/>
    <cellStyle name="Percent 5 2" xfId="29"/>
    <cellStyle name="Percent 5 2 2" xfId="59"/>
    <cellStyle name="Percent 5 3" xfId="45"/>
    <cellStyle name="Percent 6" xfId="14"/>
    <cellStyle name="Percent 6 2" xfId="30"/>
    <cellStyle name="Percent 6 2 2" xfId="60"/>
    <cellStyle name="Percent 6 3" xfId="46"/>
    <cellStyle name="Percent 7" xfId="17"/>
    <cellStyle name="Percent 7 2" xfId="33"/>
    <cellStyle name="Percent 7 2 2" xfId="63"/>
    <cellStyle name="Percent 7 3" xfId="49"/>
    <cellStyle name="Percent 8" xfId="22"/>
    <cellStyle name="Percent 9" xfId="38"/>
  </cellStyles>
  <dxfs count="126">
    <dxf>
      <font>
        <b val="0"/>
        <i val="0"/>
        <strike val="0"/>
        <condense val="0"/>
        <extend val="0"/>
        <outline val="0"/>
        <shadow val="0"/>
        <u val="none"/>
        <vertAlign val="baseline"/>
        <sz val="10"/>
        <color theme="1"/>
        <name val="Calibri"/>
        <scheme val="minor"/>
      </font>
      <numFmt numFmtId="165" formatCode="_(0.00%_);\(0.00%\);_(&quot; - &quot;_);_(@_)"/>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4" formatCode="0.00%"/>
    </dxf>
    <dxf>
      <font>
        <b val="0"/>
        <i val="0"/>
        <strike val="0"/>
        <condense val="0"/>
        <extend val="0"/>
        <outline val="0"/>
        <shadow val="0"/>
        <u val="none"/>
        <vertAlign val="baseline"/>
        <sz val="10"/>
        <color theme="1"/>
        <name val="Calibri"/>
        <scheme val="minor"/>
      </font>
      <numFmt numFmtId="14" formatCode="0.00%"/>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rgb="FF000000"/>
        <name val="Calibri"/>
        <scheme val="none"/>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4" formatCode="0.00%"/>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4" formatCode="0.00%"/>
      <alignment horizontal="right" vertical="bottom"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numFmt numFmtId="0" formatCode="General"/>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5" formatCode="_(0.00%_);\(0.00%\);_(&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 formatCode="0"/>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Calibri"/>
        <scheme val="minor"/>
      </font>
      <alignment horizontal="center" vertical="center"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verson/Objective/ceverson/objective-8008/Objects/2015%20PBRF%20Final%20Funding%20(Wash-up%20proce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verson/Objective/ceverson/objective-8008/Objects/2014-PBRF-annual-reports-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verson/Objective/ceverson/objective-8008/Objects/2015%20PBRF%20Indicative%20Allocation-updated%20RD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everson/Objective/ceverson/objective-8008/Objects/2016%20PBRF%20Indicative%20Alloc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everson/Objective/ceverson/objective-8008/Objects/PBRF%202005-2015%20E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PBRF Final Funding"/>
      <sheetName val="RDC for Washup"/>
      <sheetName val="Updated ERI for Washup"/>
      <sheetName val="QE"/>
      <sheetName val="Transfers for QE"/>
      <sheetName val="Calculator for QE"/>
      <sheetName val="TCM"/>
      <sheetName val="RDC for Intial Allocation "/>
    </sheetNames>
    <sheetDataSet>
      <sheetData sheetId="0">
        <row r="1">
          <cell r="A1" t="str">
            <v>PBRF 2015 Final Funding - Washup process</v>
          </cell>
        </row>
        <row r="2">
          <cell r="A2" t="str">
            <v>GST exclusive</v>
          </cell>
        </row>
        <row r="3">
          <cell r="A3" t="str">
            <v>(Approved memo.A1035319)</v>
          </cell>
        </row>
        <row r="4">
          <cell r="D4" t="str">
            <v>Quality Evaluation</v>
          </cell>
          <cell r="F4" t="str">
            <v>External Research Income</v>
          </cell>
          <cell r="H4" t="str">
            <v>Research Degree Completion</v>
          </cell>
        </row>
        <row r="5">
          <cell r="A5" t="str">
            <v>EDUMIS</v>
          </cell>
          <cell r="B5" t="str">
            <v>TEO</v>
          </cell>
          <cell r="C5" t="str">
            <v>TEO type</v>
          </cell>
          <cell r="D5" t="str">
            <v>Ratio</v>
          </cell>
          <cell r="E5" t="str">
            <v>Funding</v>
          </cell>
          <cell r="F5" t="str">
            <v>Ratio</v>
          </cell>
          <cell r="G5" t="str">
            <v>Funding</v>
          </cell>
          <cell r="H5" t="str">
            <v>Ratio</v>
          </cell>
          <cell r="I5" t="str">
            <v>Funding</v>
          </cell>
        </row>
        <row r="7">
          <cell r="A7">
            <v>7001</v>
          </cell>
          <cell r="B7" t="str">
            <v>University of Auckland</v>
          </cell>
          <cell r="C7" t="str">
            <v>University</v>
          </cell>
          <cell r="D7">
            <v>0.28301799340972411</v>
          </cell>
          <cell r="E7">
            <v>48820603.863177411</v>
          </cell>
          <cell r="F7">
            <v>0.34194182141690543</v>
          </cell>
          <cell r="G7">
            <v>14746241.048604047</v>
          </cell>
          <cell r="H7">
            <v>0.30175819119384284</v>
          </cell>
          <cell r="I7">
            <v>21688869.992057454</v>
          </cell>
        </row>
        <row r="8">
          <cell r="A8">
            <v>7007</v>
          </cell>
          <cell r="B8" t="str">
            <v>University of Otago</v>
          </cell>
          <cell r="C8" t="str">
            <v>University</v>
          </cell>
          <cell r="D8">
            <v>0.21366091486861413</v>
          </cell>
          <cell r="E8">
            <v>36856507.814835936</v>
          </cell>
          <cell r="F8">
            <v>0.21841145899382144</v>
          </cell>
          <cell r="G8">
            <v>9418994.1691085491</v>
          </cell>
          <cell r="H8">
            <v>0.16476040813904244</v>
          </cell>
          <cell r="I8">
            <v>11842154.334993675</v>
          </cell>
        </row>
        <row r="9">
          <cell r="A9">
            <v>7003</v>
          </cell>
          <cell r="B9" t="str">
            <v>Massey University</v>
          </cell>
          <cell r="C9" t="str">
            <v>University</v>
          </cell>
          <cell r="D9">
            <v>0.14008045030311814</v>
          </cell>
          <cell r="E9">
            <v>24163877.67728788</v>
          </cell>
          <cell r="F9">
            <v>0.13925475882217275</v>
          </cell>
          <cell r="G9">
            <v>6005361.4742061999</v>
          </cell>
          <cell r="H9">
            <v>0.12077839409269853</v>
          </cell>
          <cell r="I9">
            <v>8680947.0754127074</v>
          </cell>
        </row>
        <row r="10">
          <cell r="A10">
            <v>7004</v>
          </cell>
          <cell r="B10" t="str">
            <v>Victoria University of Wellington</v>
          </cell>
          <cell r="C10" t="str">
            <v>University</v>
          </cell>
          <cell r="D10">
            <v>0.10256451148721936</v>
          </cell>
          <cell r="E10">
            <v>17692378.23154534</v>
          </cell>
          <cell r="F10">
            <v>8.6775069804827007E-2</v>
          </cell>
          <cell r="G10">
            <v>3742174.8853331646</v>
          </cell>
          <cell r="H10">
            <v>0.11901752012688688</v>
          </cell>
          <cell r="I10">
            <v>8554384.2591199949</v>
          </cell>
        </row>
        <row r="11">
          <cell r="A11">
            <v>7005</v>
          </cell>
          <cell r="B11" t="str">
            <v>University of Canterbury</v>
          </cell>
          <cell r="C11" t="str">
            <v>University</v>
          </cell>
          <cell r="D11">
            <v>9.7422224870031951E-2</v>
          </cell>
          <cell r="E11">
            <v>16805333.79008051</v>
          </cell>
          <cell r="F11">
            <v>6.890429333774889E-2</v>
          </cell>
          <cell r="G11">
            <v>2971497.6501904209</v>
          </cell>
          <cell r="H11">
            <v>0.11167322861851038</v>
          </cell>
          <cell r="I11">
            <v>8026513.3069554335</v>
          </cell>
        </row>
        <row r="12">
          <cell r="A12">
            <v>7002</v>
          </cell>
          <cell r="B12" t="str">
            <v>University of Waikato</v>
          </cell>
          <cell r="C12" t="str">
            <v>University</v>
          </cell>
          <cell r="D12">
            <v>5.4315126571151513E-2</v>
          </cell>
          <cell r="E12">
            <v>9369359.3335236367</v>
          </cell>
          <cell r="F12">
            <v>4.9829988937516098E-2</v>
          </cell>
          <cell r="G12">
            <v>2148918.2729303818</v>
          </cell>
          <cell r="H12">
            <v>5.7168244759855102E-2</v>
          </cell>
          <cell r="I12">
            <v>4108967.5921145855</v>
          </cell>
        </row>
        <row r="13">
          <cell r="A13">
            <v>7006</v>
          </cell>
          <cell r="B13" t="str">
            <v>Lincoln University</v>
          </cell>
          <cell r="C13" t="str">
            <v>University</v>
          </cell>
          <cell r="D13">
            <v>2.7202193272490779E-2</v>
          </cell>
          <cell r="E13">
            <v>4692378.3395046592</v>
          </cell>
          <cell r="F13">
            <v>6.4699538362048184E-2</v>
          </cell>
          <cell r="G13">
            <v>2790167.5918633281</v>
          </cell>
          <cell r="H13">
            <v>3.2934684258063035E-2</v>
          </cell>
          <cell r="I13">
            <v>2367180.4310482806</v>
          </cell>
        </row>
        <row r="14">
          <cell r="A14">
            <v>7008</v>
          </cell>
          <cell r="B14" t="str">
            <v>Auckland University of Technology</v>
          </cell>
          <cell r="C14" t="str">
            <v>University</v>
          </cell>
          <cell r="D14">
            <v>4.8661892202238183E-2</v>
          </cell>
          <cell r="E14">
            <v>8394176.4048860874</v>
          </cell>
          <cell r="F14">
            <v>2.2097057297132277E-2</v>
          </cell>
          <cell r="G14">
            <v>952935.59593882947</v>
          </cell>
          <cell r="H14">
            <v>6.241916117037119E-2</v>
          </cell>
          <cell r="I14">
            <v>4486377.2091204291</v>
          </cell>
        </row>
        <row r="15">
          <cell r="A15">
            <v>6004</v>
          </cell>
          <cell r="B15" t="str">
            <v>Unitec New Zealand</v>
          </cell>
          <cell r="C15" t="str">
            <v>ITP</v>
          </cell>
          <cell r="D15">
            <v>1.2356931329972131E-2</v>
          </cell>
          <cell r="E15">
            <v>2131570.6544201928</v>
          </cell>
          <cell r="F15">
            <v>6.0420740479360114E-4</v>
          </cell>
          <cell r="G15">
            <v>26056.444331724048</v>
          </cell>
          <cell r="H15">
            <v>1.5894204480879505E-2</v>
          </cell>
          <cell r="I15">
            <v>1142395.9470632144</v>
          </cell>
        </row>
        <row r="16">
          <cell r="A16">
            <v>6013</v>
          </cell>
          <cell r="B16" t="str">
            <v>Otago Polytechnic</v>
          </cell>
          <cell r="C16" t="str">
            <v>ITP</v>
          </cell>
          <cell r="D16">
            <v>5.0428587188490548E-3</v>
          </cell>
          <cell r="E16">
            <v>869893.1290014619</v>
          </cell>
          <cell r="F16">
            <v>2.8977577628775215E-3</v>
          </cell>
          <cell r="G16">
            <v>124965.80352409312</v>
          </cell>
          <cell r="H16">
            <v>2.1177639339517731E-3</v>
          </cell>
          <cell r="I16">
            <v>152214.28275278368</v>
          </cell>
        </row>
        <row r="17">
          <cell r="A17">
            <v>6019</v>
          </cell>
          <cell r="B17" t="str">
            <v>Waikato Institute of Technology</v>
          </cell>
          <cell r="C17" t="str">
            <v>ITP</v>
          </cell>
          <cell r="D17">
            <v>1.6707362684240973E-3</v>
          </cell>
          <cell r="E17">
            <v>288202.00630315678</v>
          </cell>
          <cell r="F17">
            <v>4.7923282311356159E-4</v>
          </cell>
          <cell r="G17">
            <v>20666.915496772344</v>
          </cell>
          <cell r="H17">
            <v>4.5655901163428637E-3</v>
          </cell>
          <cell r="I17">
            <v>328151.78961214336</v>
          </cell>
        </row>
        <row r="18">
          <cell r="A18">
            <v>6006</v>
          </cell>
          <cell r="B18" t="str">
            <v>Christchurch Polytechnic Institute of Technology</v>
          </cell>
          <cell r="C18" t="str">
            <v>ITP</v>
          </cell>
          <cell r="D18">
            <v>2.7422983242715152E-3</v>
          </cell>
          <cell r="E18">
            <v>473046.46093683637</v>
          </cell>
          <cell r="F18">
            <v>2.5663077924093522E-4</v>
          </cell>
          <cell r="G18">
            <v>11067.202354765332</v>
          </cell>
          <cell r="H18">
            <v>0</v>
          </cell>
          <cell r="I18">
            <v>0</v>
          </cell>
        </row>
        <row r="19">
          <cell r="A19">
            <v>6007</v>
          </cell>
          <cell r="B19" t="str">
            <v>Eastern Institute of Technology</v>
          </cell>
          <cell r="C19" t="str">
            <v>ITP</v>
          </cell>
          <cell r="D19">
            <v>2.75513495044735E-3</v>
          </cell>
          <cell r="E19">
            <v>475260.77895216789</v>
          </cell>
          <cell r="F19">
            <v>7.3002075107102878E-4</v>
          </cell>
          <cell r="G19">
            <v>31482.144889938118</v>
          </cell>
          <cell r="H19">
            <v>1.0267699994553129E-3</v>
          </cell>
          <cell r="I19">
            <v>73799.093710850619</v>
          </cell>
        </row>
        <row r="20">
          <cell r="A20">
            <v>6010</v>
          </cell>
          <cell r="B20" t="str">
            <v>Manukau Institute of Technology</v>
          </cell>
          <cell r="C20" t="str">
            <v>ITP</v>
          </cell>
          <cell r="D20">
            <v>2.255888935485634E-3</v>
          </cell>
          <cell r="E20">
            <v>389140.84137127188</v>
          </cell>
          <cell r="F20">
            <v>9.560763745746547E-5</v>
          </cell>
          <cell r="G20">
            <v>4123.0793653531982</v>
          </cell>
          <cell r="H20">
            <v>0</v>
          </cell>
          <cell r="I20">
            <v>0</v>
          </cell>
        </row>
        <row r="21">
          <cell r="A21">
            <v>9386</v>
          </cell>
          <cell r="B21" t="str">
            <v>Te Whare Wananga O Awanuiarangi</v>
          </cell>
          <cell r="C21" t="str">
            <v>Wananga</v>
          </cell>
          <cell r="D21">
            <v>8.7921014976643998E-4</v>
          </cell>
          <cell r="E21">
            <v>151663.7508347109</v>
          </cell>
          <cell r="F21">
            <v>1.3882773917788932E-3</v>
          </cell>
          <cell r="G21">
            <v>59869.462520464767</v>
          </cell>
          <cell r="H21">
            <v>4.4103145265598359E-3</v>
          </cell>
          <cell r="I21">
            <v>316991.35659648821</v>
          </cell>
        </row>
        <row r="22">
          <cell r="A22">
            <v>8509</v>
          </cell>
          <cell r="B22" t="str">
            <v>Whitecliffe College of Arts and Design</v>
          </cell>
          <cell r="C22" t="str">
            <v>PTE</v>
          </cell>
          <cell r="D22">
            <v>8.6815090259956642E-4</v>
          </cell>
          <cell r="E22">
            <v>149756.03069842519</v>
          </cell>
          <cell r="F22">
            <v>0</v>
          </cell>
          <cell r="G22">
            <v>0</v>
          </cell>
          <cell r="H22">
            <v>1.0974976241208806E-3</v>
          </cell>
          <cell r="I22">
            <v>78882.641733688302</v>
          </cell>
        </row>
        <row r="23">
          <cell r="A23">
            <v>6014</v>
          </cell>
          <cell r="B23" t="str">
            <v>Whitireia Community Polytechnic</v>
          </cell>
          <cell r="C23" t="str">
            <v>ITP</v>
          </cell>
          <cell r="D23">
            <v>9.3213654692219153E-4</v>
          </cell>
          <cell r="E23">
            <v>160793.55434407803</v>
          </cell>
          <cell r="F23">
            <v>3.1025109644604575E-4</v>
          </cell>
          <cell r="G23">
            <v>13379.578534235723</v>
          </cell>
          <cell r="H23">
            <v>0</v>
          </cell>
          <cell r="I23">
            <v>0</v>
          </cell>
        </row>
        <row r="24">
          <cell r="A24">
            <v>6022</v>
          </cell>
          <cell r="B24" t="str">
            <v>Open Polytechnic of New Zealand</v>
          </cell>
          <cell r="C24" t="str">
            <v>ITP</v>
          </cell>
          <cell r="D24">
            <v>8.847397733498766E-4</v>
          </cell>
          <cell r="E24">
            <v>152617.61090285372</v>
          </cell>
          <cell r="F24">
            <v>9.5414590300315605E-5</v>
          </cell>
          <cell r="G24">
            <v>4114.7542067011109</v>
          </cell>
          <cell r="H24">
            <v>0</v>
          </cell>
          <cell r="I24">
            <v>0</v>
          </cell>
        </row>
        <row r="25">
          <cell r="A25">
            <v>6008</v>
          </cell>
          <cell r="B25" t="str">
            <v>Wellington Institute of Technology</v>
          </cell>
          <cell r="C25" t="str">
            <v>ITP</v>
          </cell>
          <cell r="D25">
            <v>7.0384208754887504E-4</v>
          </cell>
          <cell r="E25">
            <v>121412.76010218094</v>
          </cell>
          <cell r="F25">
            <v>7.4617406848583717E-4</v>
          </cell>
          <cell r="G25">
            <v>32178.756703451727</v>
          </cell>
          <cell r="H25">
            <v>0</v>
          </cell>
          <cell r="I25">
            <v>0</v>
          </cell>
        </row>
        <row r="26">
          <cell r="A26">
            <v>8563</v>
          </cell>
          <cell r="B26" t="str">
            <v>Laidlaw College Inc</v>
          </cell>
          <cell r="C26" t="str">
            <v>PTE</v>
          </cell>
          <cell r="D26">
            <v>4.1077203762672845E-4</v>
          </cell>
          <cell r="E26">
            <v>70858.176490610655</v>
          </cell>
          <cell r="F26">
            <v>6.5002622634011134E-5</v>
          </cell>
          <cell r="G26">
            <v>2803.2381010917302</v>
          </cell>
          <cell r="H26">
            <v>3.7802695941941452E-4</v>
          </cell>
          <cell r="I26">
            <v>27170.68770827042</v>
          </cell>
        </row>
        <row r="27">
          <cell r="A27">
            <v>6012</v>
          </cell>
          <cell r="B27" t="str">
            <v>Northland Polytechnic</v>
          </cell>
          <cell r="C27" t="str">
            <v>ITP</v>
          </cell>
          <cell r="D27">
            <v>5.7271101399880412E-4</v>
          </cell>
          <cell r="E27">
            <v>98792.649914793714</v>
          </cell>
          <cell r="F27">
            <v>1.3561450432849161E-5</v>
          </cell>
          <cell r="G27">
            <v>584.83754991662011</v>
          </cell>
          <cell r="H27">
            <v>0</v>
          </cell>
          <cell r="I27">
            <v>0</v>
          </cell>
        </row>
        <row r="28">
          <cell r="A28">
            <v>8979</v>
          </cell>
          <cell r="B28" t="str">
            <v>Carey Baptist College</v>
          </cell>
          <cell r="C28" t="str">
            <v>PTE</v>
          </cell>
          <cell r="D28">
            <v>2.962298348269676E-4</v>
          </cell>
          <cell r="E28">
            <v>51099.646507651909</v>
          </cell>
          <cell r="F28">
            <v>0</v>
          </cell>
          <cell r="G28">
            <v>0</v>
          </cell>
          <cell r="H28">
            <v>0</v>
          </cell>
          <cell r="I28">
            <v>0</v>
          </cell>
        </row>
        <row r="29">
          <cell r="A29">
            <v>8530</v>
          </cell>
          <cell r="B29" t="str">
            <v>AIS St Helens</v>
          </cell>
          <cell r="C29" t="str">
            <v>PTE</v>
          </cell>
          <cell r="D29">
            <v>2.2908440559952167E-4</v>
          </cell>
          <cell r="E29">
            <v>39517.059965917484</v>
          </cell>
          <cell r="F29">
            <v>0</v>
          </cell>
          <cell r="G29">
            <v>0</v>
          </cell>
          <cell r="H29">
            <v>0</v>
          </cell>
          <cell r="I29">
            <v>0</v>
          </cell>
        </row>
        <row r="30">
          <cell r="A30">
            <v>8694</v>
          </cell>
          <cell r="B30" t="str">
            <v>Bethlehem Institute of Education</v>
          </cell>
          <cell r="C30" t="str">
            <v>PTE</v>
          </cell>
          <cell r="D30">
            <v>1.1849193393078705E-4</v>
          </cell>
          <cell r="E30">
            <v>20439.858603060766</v>
          </cell>
          <cell r="F30">
            <v>1.597726679680521E-4</v>
          </cell>
          <cell r="G30">
            <v>6890.1963061222468</v>
          </cell>
          <cell r="H30">
            <v>0</v>
          </cell>
          <cell r="I30">
            <v>0</v>
          </cell>
        </row>
        <row r="31">
          <cell r="A31">
            <v>8396</v>
          </cell>
          <cell r="B31" t="str">
            <v>New Zealand College of Chiropractic</v>
          </cell>
          <cell r="C31" t="str">
            <v>PTE</v>
          </cell>
          <cell r="D31">
            <v>1.579892452410494E-4</v>
          </cell>
          <cell r="E31">
            <v>27253.144804081021</v>
          </cell>
          <cell r="F31">
            <v>1.9301034493407766E-4</v>
          </cell>
          <cell r="G31">
            <v>8323.5711252820984</v>
          </cell>
          <cell r="H31">
            <v>0</v>
          </cell>
          <cell r="I31">
            <v>0</v>
          </cell>
        </row>
        <row r="32">
          <cell r="A32">
            <v>8619</v>
          </cell>
          <cell r="B32" t="str">
            <v>New Zealand Tertiary College</v>
          </cell>
          <cell r="C32" t="str">
            <v>PTE</v>
          </cell>
          <cell r="D32">
            <v>1.1849193393078705E-4</v>
          </cell>
          <cell r="E32">
            <v>20439.858603060766</v>
          </cell>
          <cell r="F32">
            <v>5.1091636293616343E-5</v>
          </cell>
          <cell r="G32">
            <v>2203.3268151622046</v>
          </cell>
          <cell r="H32">
            <v>0</v>
          </cell>
          <cell r="I32">
            <v>0</v>
          </cell>
        </row>
        <row r="33">
          <cell r="A33">
            <v>8717</v>
          </cell>
          <cell r="B33" t="str">
            <v>Good Shepherd College - Te Hepara Pai</v>
          </cell>
          <cell r="C33" t="str">
            <v>PTE</v>
          </cell>
          <cell r="D33">
            <v>7.89946226205247E-5</v>
          </cell>
          <cell r="E33">
            <v>13626.57240204051</v>
          </cell>
          <cell r="F33">
            <v>0</v>
          </cell>
          <cell r="G33">
            <v>0</v>
          </cell>
          <cell r="H33">
            <v>0</v>
          </cell>
          <cell r="I33">
            <v>0</v>
          </cell>
        </row>
        <row r="34">
          <cell r="A34">
            <v>6505</v>
          </cell>
          <cell r="B34" t="str">
            <v>Christchurch College of Education</v>
          </cell>
          <cell r="C34" t="str">
            <v>PTE</v>
          </cell>
          <cell r="D34">
            <v>0</v>
          </cell>
          <cell r="E34">
            <v>0</v>
          </cell>
          <cell r="F34">
            <v>0</v>
          </cell>
          <cell r="G34">
            <v>0</v>
          </cell>
          <cell r="H34">
            <v>0</v>
          </cell>
          <cell r="I34">
            <v>0</v>
          </cell>
        </row>
        <row r="37">
          <cell r="B37" t="str">
            <v>Grand Total</v>
          </cell>
          <cell r="D37">
            <v>1.0000000000000002</v>
          </cell>
          <cell r="E37">
            <v>172500000.00000003</v>
          </cell>
          <cell r="F37">
            <v>0.99999999999999989</v>
          </cell>
          <cell r="G37">
            <v>43125000.000000007</v>
          </cell>
          <cell r="H37">
            <v>0.99999999999999989</v>
          </cell>
          <cell r="I37">
            <v>71875000</v>
          </cell>
        </row>
        <row r="38">
          <cell r="E38">
            <v>0</v>
          </cell>
          <cell r="G38">
            <v>0</v>
          </cell>
          <cell r="I38">
            <v>0</v>
          </cell>
        </row>
        <row r="41">
          <cell r="B41" t="str">
            <v>Total Available Pool 2015</v>
          </cell>
        </row>
        <row r="42">
          <cell r="B42" t="str">
            <v>PBRF pool size 2015 (GST exclusive)</v>
          </cell>
          <cell r="E42">
            <v>287500000</v>
          </cell>
        </row>
        <row r="44">
          <cell r="B44" t="str">
            <v>To be allocated:</v>
          </cell>
        </row>
        <row r="45">
          <cell r="B45" t="str">
            <v>Quality Evaluation</v>
          </cell>
          <cell r="D45">
            <v>0.6</v>
          </cell>
          <cell r="E45">
            <v>172500000</v>
          </cell>
          <cell r="G45">
            <v>4657500.0000000009</v>
          </cell>
        </row>
        <row r="46">
          <cell r="B46" t="str">
            <v>External Research Income</v>
          </cell>
          <cell r="D46">
            <v>0.15</v>
          </cell>
          <cell r="E46">
            <v>43125000</v>
          </cell>
          <cell r="G46">
            <v>27945000.000000007</v>
          </cell>
        </row>
        <row r="47">
          <cell r="B47" t="str">
            <v>Research Degree Completions</v>
          </cell>
          <cell r="D47">
            <v>0.25</v>
          </cell>
          <cell r="E47">
            <v>71875000</v>
          </cell>
        </row>
        <row r="48">
          <cell r="E48">
            <v>287500000</v>
          </cell>
        </row>
        <row r="51">
          <cell r="B51" t="str">
            <v>TEOs that have exited the PBRF</v>
          </cell>
        </row>
        <row r="52">
          <cell r="B52" t="str">
            <v>Nelson Marlborough Institute of Technology</v>
          </cell>
        </row>
        <row r="53">
          <cell r="B53" t="str">
            <v>Christchurch College of Education</v>
          </cell>
        </row>
        <row r="54">
          <cell r="B54" t="str">
            <v>Dunedin College of Education</v>
          </cell>
        </row>
        <row r="55">
          <cell r="B55" t="str">
            <v>Te Wananga O Aotearoa</v>
          </cell>
        </row>
        <row r="57">
          <cell r="B57" t="str">
            <v>TEOs that are new to the PBRF - no data available for RDC and ERI</v>
          </cell>
        </row>
        <row r="58">
          <cell r="B58" t="str">
            <v>New Zealand College of Chiropractic</v>
          </cell>
        </row>
        <row r="59">
          <cell r="B59" t="str">
            <v>New Zealand Tertiary College</v>
          </cell>
        </row>
        <row r="60">
          <cell r="B60" t="str">
            <v>Wellington Institute of Technology</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Index"/>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Sheet7"/>
      <sheetName val="Sheet8"/>
      <sheetName val="Sheet10"/>
      <sheetName val="Sheet11"/>
    </sheetNames>
    <sheetDataSet>
      <sheetData sheetId="0"/>
      <sheetData sheetId="1"/>
      <sheetData sheetId="2">
        <row r="2">
          <cell r="A2" t="str">
            <v>Table 1.1:  2014 PBRF funding allocations - by measure</v>
          </cell>
          <cell r="D2" t="str">
            <v>GST exclusive</v>
          </cell>
        </row>
        <row r="4">
          <cell r="A4" t="str">
            <v>TEOs</v>
          </cell>
          <cell r="B4" t="str">
            <v>Quality 
Evaluation</v>
          </cell>
          <cell r="C4" t="str">
            <v>External Research Income</v>
          </cell>
          <cell r="D4" t="str">
            <v>Research Degree Completion</v>
          </cell>
          <cell r="E4" t="str">
            <v>Total Funding</v>
          </cell>
        </row>
        <row r="5">
          <cell r="A5" t="str">
            <v>University of Auckland</v>
          </cell>
          <cell r="B5">
            <v>46697968.909999996</v>
          </cell>
          <cell r="C5">
            <v>14396797.869999999</v>
          </cell>
          <cell r="D5">
            <v>21888228.620000001</v>
          </cell>
          <cell r="E5">
            <v>82982995.399999991</v>
          </cell>
        </row>
        <row r="6">
          <cell r="A6" t="str">
            <v>University of Otago</v>
          </cell>
          <cell r="B6">
            <v>35254050.950000003</v>
          </cell>
          <cell r="C6">
            <v>9079393.9600000009</v>
          </cell>
          <cell r="D6">
            <v>11343527.880000001</v>
          </cell>
          <cell r="E6">
            <v>55676972.790000007</v>
          </cell>
        </row>
        <row r="7">
          <cell r="A7" t="str">
            <v>Massey University</v>
          </cell>
          <cell r="B7">
            <v>23113274.300000001</v>
          </cell>
          <cell r="C7">
            <v>5530177.1900000004</v>
          </cell>
          <cell r="D7">
            <v>7939169.0300000003</v>
          </cell>
          <cell r="E7">
            <v>36582620.520000003</v>
          </cell>
        </row>
        <row r="8">
          <cell r="A8" t="str">
            <v>Victoria University of Wellington</v>
          </cell>
          <cell r="B8">
            <v>16923144.399999999</v>
          </cell>
          <cell r="C8">
            <v>3683009.02</v>
          </cell>
          <cell r="D8">
            <v>8271643.9900000002</v>
          </cell>
          <cell r="E8">
            <v>28877797.409999996</v>
          </cell>
        </row>
        <row r="9">
          <cell r="A9" t="str">
            <v>University of Canterbury</v>
          </cell>
          <cell r="B9">
            <v>16074667.1</v>
          </cell>
          <cell r="C9">
            <v>2750158.34</v>
          </cell>
          <cell r="D9">
            <v>6886564.6100000003</v>
          </cell>
          <cell r="E9">
            <v>25711390.049999997</v>
          </cell>
        </row>
        <row r="10">
          <cell r="A10" t="str">
            <v>University of Waikato</v>
          </cell>
          <cell r="B10">
            <v>8961995.8800000008</v>
          </cell>
          <cell r="C10">
            <v>2010110.3</v>
          </cell>
          <cell r="D10">
            <v>4347758.83</v>
          </cell>
          <cell r="E10">
            <v>15319865.010000002</v>
          </cell>
        </row>
        <row r="11">
          <cell r="A11" t="str">
            <v>Auckland University of Technology</v>
          </cell>
          <cell r="B11">
            <v>8029212.21</v>
          </cell>
          <cell r="C11">
            <v>884007.91</v>
          </cell>
          <cell r="D11">
            <v>4113306.56</v>
          </cell>
          <cell r="E11">
            <v>13026526.68</v>
          </cell>
        </row>
        <row r="12">
          <cell r="A12" t="str">
            <v>Lincoln University</v>
          </cell>
          <cell r="B12">
            <v>4488361.8899999997</v>
          </cell>
          <cell r="C12">
            <v>2527985.92</v>
          </cell>
          <cell r="D12">
            <v>2125263.08</v>
          </cell>
          <cell r="E12">
            <v>9141610.8900000006</v>
          </cell>
        </row>
        <row r="13">
          <cell r="A13" t="str">
            <v>Unitec New Zealand</v>
          </cell>
          <cell r="B13">
            <v>2038893.67</v>
          </cell>
          <cell r="C13">
            <v>28259.81</v>
          </cell>
          <cell r="D13">
            <v>1070592.47</v>
          </cell>
          <cell r="E13">
            <v>3137745.95</v>
          </cell>
        </row>
        <row r="14">
          <cell r="A14" t="str">
            <v>Otago Polytechnic</v>
          </cell>
          <cell r="B14">
            <v>832071.69</v>
          </cell>
          <cell r="C14">
            <v>110896.51</v>
          </cell>
          <cell r="D14">
            <v>198901.58</v>
          </cell>
          <cell r="E14">
            <v>1141869.78</v>
          </cell>
        </row>
        <row r="15">
          <cell r="A15" t="str">
            <v>Waikato Institute of Technology</v>
          </cell>
          <cell r="B15">
            <v>275671.48</v>
          </cell>
          <cell r="C15">
            <v>14945.35</v>
          </cell>
          <cell r="D15">
            <v>272737.64</v>
          </cell>
          <cell r="E15">
            <v>563354.47</v>
          </cell>
        </row>
        <row r="16">
          <cell r="A16" t="str">
            <v>Eastern Institute of Technology</v>
          </cell>
          <cell r="B16">
            <v>454597.27</v>
          </cell>
          <cell r="C16">
            <v>25173.32</v>
          </cell>
          <cell r="D16">
            <v>0</v>
          </cell>
          <cell r="E16">
            <v>479770.59</v>
          </cell>
        </row>
        <row r="17">
          <cell r="A17" t="str">
            <v>Christchurch Polytechnic Institute of Technology</v>
          </cell>
          <cell r="B17">
            <v>452479.22</v>
          </cell>
          <cell r="C17">
            <v>16985.740000000002</v>
          </cell>
          <cell r="D17">
            <v>0</v>
          </cell>
          <cell r="E17">
            <v>469464.95999999996</v>
          </cell>
        </row>
        <row r="18">
          <cell r="A18" t="str">
            <v>Te Whare Wānanga o Awanuiārangi</v>
          </cell>
          <cell r="B18">
            <v>145069.67000000001</v>
          </cell>
          <cell r="C18">
            <v>87473.1</v>
          </cell>
          <cell r="D18">
            <v>202365.49</v>
          </cell>
          <cell r="E18">
            <v>434908.26</v>
          </cell>
        </row>
        <row r="19">
          <cell r="A19" t="str">
            <v>Manukau Institute of Technology</v>
          </cell>
          <cell r="B19">
            <v>372221.67</v>
          </cell>
          <cell r="C19">
            <v>9166.82</v>
          </cell>
          <cell r="D19">
            <v>0</v>
          </cell>
          <cell r="E19">
            <v>381388.49</v>
          </cell>
        </row>
        <row r="20">
          <cell r="A20" t="str">
            <v>Whitecliff College of Arts and Design</v>
          </cell>
          <cell r="B20">
            <v>143244.9</v>
          </cell>
          <cell r="C20">
            <v>0</v>
          </cell>
          <cell r="D20">
            <v>65024.35</v>
          </cell>
          <cell r="E20">
            <v>208269.25</v>
          </cell>
        </row>
        <row r="21">
          <cell r="A21" t="str">
            <v>Whitireia Community Polytechnic</v>
          </cell>
          <cell r="B21">
            <v>153802.53</v>
          </cell>
          <cell r="C21">
            <v>20978.23</v>
          </cell>
          <cell r="D21">
            <v>0</v>
          </cell>
          <cell r="E21">
            <v>174780.76</v>
          </cell>
        </row>
        <row r="22">
          <cell r="A22" t="str">
            <v>Wellington Institute of Technology</v>
          </cell>
          <cell r="B22">
            <v>116133.94</v>
          </cell>
          <cell r="C22">
            <v>45311.43</v>
          </cell>
          <cell r="D22">
            <v>0</v>
          </cell>
          <cell r="E22">
            <v>161445.37</v>
          </cell>
        </row>
        <row r="23">
          <cell r="A23" t="str">
            <v>Open Polytechnic of New Zealand</v>
          </cell>
          <cell r="B23">
            <v>145982.06</v>
          </cell>
          <cell r="C23">
            <v>8545.06</v>
          </cell>
          <cell r="D23">
            <v>0</v>
          </cell>
          <cell r="E23">
            <v>154527.12</v>
          </cell>
        </row>
        <row r="24">
          <cell r="A24" t="str">
            <v>Northland Polytechnic</v>
          </cell>
          <cell r="B24">
            <v>94497.32</v>
          </cell>
          <cell r="C24">
            <v>427.95</v>
          </cell>
          <cell r="D24">
            <v>0</v>
          </cell>
          <cell r="E24">
            <v>94925.27</v>
          </cell>
        </row>
        <row r="25">
          <cell r="A25" t="str">
            <v>Laidlaw College</v>
          </cell>
          <cell r="B25">
            <v>67777.39</v>
          </cell>
          <cell r="C25">
            <v>2110.9</v>
          </cell>
          <cell r="D25">
            <v>24915.87</v>
          </cell>
          <cell r="E25">
            <v>94804.159999999989</v>
          </cell>
        </row>
        <row r="26">
          <cell r="A26" t="str">
            <v>Carey Baptist College</v>
          </cell>
          <cell r="B26">
            <v>48877.919999999998</v>
          </cell>
          <cell r="C26">
            <v>0</v>
          </cell>
          <cell r="D26">
            <v>0</v>
          </cell>
          <cell r="E26">
            <v>48877.919999999998</v>
          </cell>
        </row>
        <row r="27">
          <cell r="A27" t="str">
            <v>AIS St Helens</v>
          </cell>
          <cell r="B27">
            <v>37798.93</v>
          </cell>
          <cell r="C27">
            <v>0</v>
          </cell>
          <cell r="D27">
            <v>0</v>
          </cell>
          <cell r="E27">
            <v>37798.93</v>
          </cell>
        </row>
        <row r="28">
          <cell r="A28" t="str">
            <v>New Zealand College of Chiropractic</v>
          </cell>
          <cell r="B28">
            <v>26068.23</v>
          </cell>
          <cell r="C28">
            <v>7206.58</v>
          </cell>
          <cell r="D28">
            <v>0</v>
          </cell>
          <cell r="E28">
            <v>33274.81</v>
          </cell>
        </row>
        <row r="29">
          <cell r="A29" t="str">
            <v>Bethlehem Institute of Education</v>
          </cell>
          <cell r="B29">
            <v>19551.169999999998</v>
          </cell>
          <cell r="C29">
            <v>10435.790000000001</v>
          </cell>
          <cell r="D29">
            <v>0</v>
          </cell>
          <cell r="E29">
            <v>29986.959999999999</v>
          </cell>
        </row>
        <row r="30">
          <cell r="A30" t="str">
            <v>New Zealand Tertiary College</v>
          </cell>
          <cell r="B30">
            <v>19551.169999999998</v>
          </cell>
          <cell r="C30">
            <v>442.89</v>
          </cell>
          <cell r="D30">
            <v>0</v>
          </cell>
          <cell r="E30">
            <v>19994.059999999998</v>
          </cell>
        </row>
        <row r="31">
          <cell r="A31" t="str">
            <v>Good Shepherd College</v>
          </cell>
          <cell r="B31">
            <v>13034.11</v>
          </cell>
          <cell r="C31">
            <v>0</v>
          </cell>
          <cell r="D31">
            <v>0</v>
          </cell>
          <cell r="E31">
            <v>13034.11</v>
          </cell>
        </row>
        <row r="32">
          <cell r="A32" t="str">
            <v>Total</v>
          </cell>
          <cell r="B32">
            <v>164999999.9799999</v>
          </cell>
          <cell r="C32">
            <v>41249999.989999995</v>
          </cell>
          <cell r="D32">
            <v>68750000</v>
          </cell>
          <cell r="E32">
            <v>274999999.96999997</v>
          </cell>
        </row>
      </sheetData>
      <sheetData sheetId="3">
        <row r="2">
          <cell r="A2" t="str">
            <v>Table 1.2: Final 2013 and final 2014 PBRF funding allocations</v>
          </cell>
        </row>
        <row r="4">
          <cell r="A4" t="str">
            <v>TEOs</v>
          </cell>
          <cell r="B4" t="str">
            <v>Total Funding 
2013</v>
          </cell>
          <cell r="C4" t="str">
            <v>Total Funding
 2014</v>
          </cell>
        </row>
        <row r="5">
          <cell r="A5" t="str">
            <v>University of Auckland</v>
          </cell>
          <cell r="B5">
            <v>80344344.549154758</v>
          </cell>
          <cell r="C5">
            <v>82982995.399999991</v>
          </cell>
        </row>
        <row r="6">
          <cell r="A6" t="str">
            <v>University of Otago</v>
          </cell>
          <cell r="B6">
            <v>53428655.291161366</v>
          </cell>
          <cell r="C6">
            <v>55676972.790000007</v>
          </cell>
        </row>
        <row r="7">
          <cell r="A7" t="str">
            <v>Massey University</v>
          </cell>
          <cell r="B7">
            <v>34590312.335395463</v>
          </cell>
          <cell r="C7">
            <v>36582620.520000003</v>
          </cell>
        </row>
        <row r="8">
          <cell r="A8" t="str">
            <v>Victoria University of Wellington</v>
          </cell>
          <cell r="B8">
            <v>26915758.405504014</v>
          </cell>
          <cell r="C8">
            <v>28877797.409999996</v>
          </cell>
        </row>
        <row r="9">
          <cell r="A9" t="str">
            <v>University of Canterbury</v>
          </cell>
          <cell r="B9">
            <v>24573413.314634494</v>
          </cell>
          <cell r="C9">
            <v>25711390.049999997</v>
          </cell>
        </row>
        <row r="10">
          <cell r="A10" t="str">
            <v>University of Waikato</v>
          </cell>
          <cell r="B10">
            <v>14887511.232152736</v>
          </cell>
          <cell r="C10">
            <v>15319865.010000002</v>
          </cell>
        </row>
        <row r="11">
          <cell r="A11" t="str">
            <v>Auckland University of Technology</v>
          </cell>
          <cell r="B11">
            <v>11664830.50442015</v>
          </cell>
          <cell r="C11">
            <v>13026526.68</v>
          </cell>
        </row>
        <row r="12">
          <cell r="A12" t="str">
            <v>Lincoln University</v>
          </cell>
          <cell r="B12">
            <v>8695371.945561612</v>
          </cell>
          <cell r="C12">
            <v>9141610.8900000006</v>
          </cell>
        </row>
        <row r="13">
          <cell r="A13" t="str">
            <v>Unitec New Zealand</v>
          </cell>
          <cell r="B13">
            <v>3085822.4491525581</v>
          </cell>
          <cell r="C13">
            <v>3137745.95</v>
          </cell>
        </row>
        <row r="14">
          <cell r="A14" t="str">
            <v>Otago Polytechnic</v>
          </cell>
          <cell r="B14">
            <v>1116188.6174040979</v>
          </cell>
          <cell r="C14">
            <v>1141869.78</v>
          </cell>
        </row>
        <row r="15">
          <cell r="A15" t="str">
            <v>Waikato Institute of Technology</v>
          </cell>
          <cell r="B15">
            <v>519569.7086430224</v>
          </cell>
          <cell r="C15">
            <v>563354.47</v>
          </cell>
        </row>
        <row r="16">
          <cell r="A16" t="str">
            <v>Eastern Institute of Technology</v>
          </cell>
          <cell r="B16">
            <v>466900.2892231181</v>
          </cell>
          <cell r="C16">
            <v>479770.59</v>
          </cell>
        </row>
        <row r="17">
          <cell r="A17" t="str">
            <v>Christchurch Polytechnic Institute of Technology</v>
          </cell>
          <cell r="B17">
            <v>450353.10846936412</v>
          </cell>
          <cell r="C17">
            <v>469464.95999999996</v>
          </cell>
        </row>
        <row r="18">
          <cell r="A18" t="str">
            <v>Te Whare Wānanga o Awanuiārangi</v>
          </cell>
          <cell r="B18">
            <v>328877.54908111226</v>
          </cell>
          <cell r="C18">
            <v>434908.26</v>
          </cell>
        </row>
        <row r="19">
          <cell r="A19" t="str">
            <v>Manukau Institute of Technology</v>
          </cell>
          <cell r="B19">
            <v>367797.84373771481</v>
          </cell>
          <cell r="C19">
            <v>381388.49</v>
          </cell>
        </row>
        <row r="20">
          <cell r="A20" t="str">
            <v>Whitecliff College of Arts and Design</v>
          </cell>
          <cell r="B20">
            <v>230474.80927992362</v>
          </cell>
          <cell r="C20">
            <v>208269.25</v>
          </cell>
        </row>
        <row r="21">
          <cell r="A21" t="str">
            <v>Whitireia Community Polytechnic</v>
          </cell>
          <cell r="B21">
            <v>167393.88771162063</v>
          </cell>
          <cell r="C21">
            <v>174780.76</v>
          </cell>
        </row>
        <row r="22">
          <cell r="A22" t="str">
            <v>Wellington Institute of Technology</v>
          </cell>
          <cell r="B22">
            <v>149327.4138163476</v>
          </cell>
          <cell r="C22">
            <v>161445.37</v>
          </cell>
        </row>
        <row r="23">
          <cell r="A23" t="str">
            <v>Open Polytechnic of New Zealand</v>
          </cell>
          <cell r="B23">
            <v>148938.91583170753</v>
          </cell>
          <cell r="C23">
            <v>154527.12</v>
          </cell>
        </row>
        <row r="24">
          <cell r="A24" t="str">
            <v>Northland Polytechnic</v>
          </cell>
          <cell r="B24">
            <v>90548.746006109897</v>
          </cell>
          <cell r="C24">
            <v>94925.27</v>
          </cell>
        </row>
        <row r="25">
          <cell r="A25" t="str">
            <v>Laidlaw College</v>
          </cell>
          <cell r="B25">
            <v>101749.64298059336</v>
          </cell>
          <cell r="C25">
            <v>94804.159999999989</v>
          </cell>
        </row>
        <row r="26">
          <cell r="A26" t="str">
            <v>Carey Baptist College</v>
          </cell>
          <cell r="B26">
            <v>46656.1989852474</v>
          </cell>
          <cell r="C26">
            <v>48877.919999999998</v>
          </cell>
        </row>
        <row r="27">
          <cell r="A27" t="str">
            <v>AIS St Helens</v>
          </cell>
          <cell r="B27">
            <v>36080.793881924663</v>
          </cell>
          <cell r="C27">
            <v>37798.93</v>
          </cell>
        </row>
        <row r="28">
          <cell r="A28" t="str">
            <v>New Zealand College of Chiropractic</v>
          </cell>
          <cell r="B28">
            <v>31760.893776896191</v>
          </cell>
          <cell r="C28">
            <v>33274.81</v>
          </cell>
        </row>
        <row r="29">
          <cell r="A29" t="str">
            <v>Bethlehem Institute of Education</v>
          </cell>
          <cell r="B29">
            <v>30257.421377230363</v>
          </cell>
          <cell r="C29">
            <v>29986.959999999999</v>
          </cell>
        </row>
        <row r="30">
          <cell r="A30" t="str">
            <v>New Zealand Tertiary College</v>
          </cell>
          <cell r="B30">
            <v>18662.479594098961</v>
          </cell>
          <cell r="C30">
            <v>19994.059999999998</v>
          </cell>
        </row>
        <row r="31">
          <cell r="A31" t="str">
            <v>Good Shepherd College</v>
          </cell>
          <cell r="B31">
            <v>12441.653062732641</v>
          </cell>
          <cell r="C31">
            <v>13034.11</v>
          </cell>
        </row>
        <row r="32">
          <cell r="A32" t="str">
            <v>Total</v>
          </cell>
          <cell r="B32">
            <v>262500000.00000003</v>
          </cell>
          <cell r="C32">
            <v>274999999.96999997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PBRF Indicative Allocation"/>
      <sheetName val="RDC "/>
      <sheetName val="ERI"/>
      <sheetName val="QE"/>
      <sheetName val="Transfers for QE"/>
      <sheetName val="Calculator for QE"/>
      <sheetName val="TCM"/>
    </sheetNames>
    <sheetDataSet>
      <sheetData sheetId="0">
        <row r="1">
          <cell r="A1" t="str">
            <v>PBRF 2015 Indicative Allocation</v>
          </cell>
        </row>
        <row r="2">
          <cell r="A2" t="str">
            <v>GST exclusive</v>
          </cell>
        </row>
        <row r="3">
          <cell r="A3" t="str">
            <v>(Approved memo. A951639)</v>
          </cell>
        </row>
        <row r="4">
          <cell r="D4" t="str">
            <v>Quality Evaluation</v>
          </cell>
          <cell r="F4" t="str">
            <v>External Research Income</v>
          </cell>
          <cell r="H4" t="str">
            <v>Research Degree Completion</v>
          </cell>
        </row>
        <row r="5">
          <cell r="A5" t="str">
            <v>EDUMIS</v>
          </cell>
          <cell r="B5" t="str">
            <v>TEO</v>
          </cell>
          <cell r="C5" t="str">
            <v>TEO type</v>
          </cell>
          <cell r="D5" t="str">
            <v>Ratio</v>
          </cell>
          <cell r="E5" t="str">
            <v>Funding</v>
          </cell>
          <cell r="F5" t="str">
            <v>Ratio</v>
          </cell>
          <cell r="G5" t="str">
            <v>Funding</v>
          </cell>
          <cell r="H5" t="str">
            <v>Ratio</v>
          </cell>
          <cell r="I5" t="str">
            <v>Funding</v>
          </cell>
          <cell r="J5" t="str">
            <v xml:space="preserve">Initial Allcaotion (updated RDC) </v>
          </cell>
        </row>
        <row r="7">
          <cell r="A7">
            <v>7001</v>
          </cell>
          <cell r="B7" t="str">
            <v>University of Auckland</v>
          </cell>
          <cell r="C7" t="str">
            <v>University</v>
          </cell>
          <cell r="D7">
            <v>0.28301799340972411</v>
          </cell>
          <cell r="E7">
            <v>48820603.863177411</v>
          </cell>
          <cell r="F7">
            <v>0.34218737927414411</v>
          </cell>
          <cell r="G7">
            <v>14756830.731197465</v>
          </cell>
          <cell r="H7">
            <v>0.30561372126059039</v>
          </cell>
          <cell r="I7">
            <v>21965986.215604935</v>
          </cell>
          <cell r="J7">
            <v>85543421</v>
          </cell>
        </row>
        <row r="8">
          <cell r="A8">
            <v>7007</v>
          </cell>
          <cell r="B8" t="str">
            <v>University of Otago</v>
          </cell>
          <cell r="C8" t="str">
            <v>University</v>
          </cell>
          <cell r="D8">
            <v>0.21366091486861413</v>
          </cell>
          <cell r="E8">
            <v>36856507.814835936</v>
          </cell>
          <cell r="F8">
            <v>0.21856830628920246</v>
          </cell>
          <cell r="G8">
            <v>9425758.2087218557</v>
          </cell>
          <cell r="H8">
            <v>0.16397926270078619</v>
          </cell>
          <cell r="I8">
            <v>11786009.506619008</v>
          </cell>
          <cell r="J8">
            <v>58068276</v>
          </cell>
        </row>
        <row r="9">
          <cell r="A9">
            <v>7003</v>
          </cell>
          <cell r="B9" t="str">
            <v>Massey University</v>
          </cell>
          <cell r="C9" t="str">
            <v>University</v>
          </cell>
          <cell r="D9">
            <v>0.14008045030311814</v>
          </cell>
          <cell r="E9">
            <v>24163877.67728788</v>
          </cell>
          <cell r="F9">
            <v>0.13935476150697151</v>
          </cell>
          <cell r="G9">
            <v>6009674.0899881469</v>
          </cell>
          <cell r="H9">
            <v>0.11999708609378705</v>
          </cell>
          <cell r="I9">
            <v>8624790.5629909448</v>
          </cell>
          <cell r="J9">
            <v>38798342</v>
          </cell>
        </row>
        <row r="10">
          <cell r="A10">
            <v>7004</v>
          </cell>
          <cell r="B10" t="str">
            <v>Victoria University of Wellington</v>
          </cell>
          <cell r="C10" t="str">
            <v>University</v>
          </cell>
          <cell r="D10">
            <v>0.10256451148721936</v>
          </cell>
          <cell r="E10">
            <v>17692378.23154534</v>
          </cell>
          <cell r="F10">
            <v>8.6119257783628569E-2</v>
          </cell>
          <cell r="G10">
            <v>3713892.991918982</v>
          </cell>
          <cell r="H10">
            <v>0.11887766045707834</v>
          </cell>
          <cell r="I10">
            <v>8544331.8453525063</v>
          </cell>
          <cell r="J10">
            <v>29950603</v>
          </cell>
        </row>
        <row r="11">
          <cell r="A11">
            <v>7005</v>
          </cell>
          <cell r="B11" t="str">
            <v>University of Canterbury</v>
          </cell>
          <cell r="C11" t="str">
            <v>University</v>
          </cell>
          <cell r="D11">
            <v>9.7422224870031951E-2</v>
          </cell>
          <cell r="E11">
            <v>16805333.79008051</v>
          </cell>
          <cell r="F11">
            <v>6.8953775412086721E-2</v>
          </cell>
          <cell r="G11">
            <v>2973631.5646462399</v>
          </cell>
          <cell r="H11">
            <v>0.11118656689235934</v>
          </cell>
          <cell r="I11">
            <v>7991534.4953883272</v>
          </cell>
          <cell r="J11">
            <v>27770500</v>
          </cell>
        </row>
        <row r="12">
          <cell r="A12">
            <v>7002</v>
          </cell>
          <cell r="B12" t="str">
            <v>University of Waikato</v>
          </cell>
          <cell r="C12" t="str">
            <v>University</v>
          </cell>
          <cell r="D12">
            <v>5.4315126571151513E-2</v>
          </cell>
          <cell r="E12">
            <v>9369359.3335236367</v>
          </cell>
          <cell r="F12">
            <v>4.9865773227542459E-2</v>
          </cell>
          <cell r="G12">
            <v>2150461.4704377684</v>
          </cell>
          <cell r="H12">
            <v>5.6919110772953675E-2</v>
          </cell>
          <cell r="I12">
            <v>4091061.0868060454</v>
          </cell>
          <cell r="J12">
            <v>15610882</v>
          </cell>
        </row>
        <row r="13">
          <cell r="A13">
            <v>7006</v>
          </cell>
          <cell r="B13" t="str">
            <v>Lincoln University</v>
          </cell>
          <cell r="C13" t="str">
            <v>University</v>
          </cell>
          <cell r="D13">
            <v>2.7202193272490779E-2</v>
          </cell>
          <cell r="E13">
            <v>4692378.3395046592</v>
          </cell>
          <cell r="F13">
            <v>6.4746000885815197E-2</v>
          </cell>
          <cell r="G13">
            <v>2792171.2882007803</v>
          </cell>
          <cell r="H13">
            <v>3.2791157913481056E-2</v>
          </cell>
          <cell r="I13">
            <v>2356864.4750314509</v>
          </cell>
          <cell r="J13">
            <v>9841414</v>
          </cell>
        </row>
        <row r="14">
          <cell r="A14">
            <v>7008</v>
          </cell>
          <cell r="B14" t="str">
            <v>Auckland University of Technology</v>
          </cell>
          <cell r="C14" t="str">
            <v>University</v>
          </cell>
          <cell r="D14">
            <v>4.8661892202238183E-2</v>
          </cell>
          <cell r="E14">
            <v>8394176.4048860874</v>
          </cell>
          <cell r="F14">
            <v>2.2112925803706527E-2</v>
          </cell>
          <cell r="G14">
            <v>953619.92528484401</v>
          </cell>
          <cell r="H14">
            <v>6.211395801546752E-2</v>
          </cell>
          <cell r="I14">
            <v>4464440.7323617283</v>
          </cell>
          <cell r="J14">
            <v>13812237</v>
          </cell>
        </row>
        <row r="15">
          <cell r="A15">
            <v>6004</v>
          </cell>
          <cell r="B15" t="str">
            <v>Unitec New Zealand</v>
          </cell>
          <cell r="C15" t="str">
            <v>ITP</v>
          </cell>
          <cell r="D15">
            <v>1.2356931329972131E-2</v>
          </cell>
          <cell r="E15">
            <v>2131570.6544201928</v>
          </cell>
          <cell r="F15">
            <v>6.0464130280301709E-4</v>
          </cell>
          <cell r="G15">
            <v>26075.156183380113</v>
          </cell>
          <cell r="H15">
            <v>1.600705812838174E-2</v>
          </cell>
          <cell r="I15">
            <v>1150507.3029774376</v>
          </cell>
          <cell r="J15">
            <v>3308153</v>
          </cell>
        </row>
        <row r="16">
          <cell r="A16">
            <v>6013</v>
          </cell>
          <cell r="B16" t="str">
            <v>Otago Polytechnic</v>
          </cell>
          <cell r="C16" t="str">
            <v>ITP</v>
          </cell>
          <cell r="D16">
            <v>5.0428587188490548E-3</v>
          </cell>
          <cell r="E16">
            <v>869893.1290014619</v>
          </cell>
          <cell r="F16">
            <v>2.8998387226855395E-3</v>
          </cell>
          <cell r="G16">
            <v>125055.54491581389</v>
          </cell>
          <cell r="H16">
            <v>2.1085349122387984E-3</v>
          </cell>
          <cell r="I16">
            <v>151550.94681716364</v>
          </cell>
          <cell r="J16">
            <v>1146500</v>
          </cell>
        </row>
        <row r="17">
          <cell r="A17">
            <v>6019</v>
          </cell>
          <cell r="B17" t="str">
            <v>Waikato Institute of Technology</v>
          </cell>
          <cell r="C17" t="str">
            <v>ITP</v>
          </cell>
          <cell r="D17">
            <v>1.6707362684240973E-3</v>
          </cell>
          <cell r="E17">
            <v>288202.00630315678</v>
          </cell>
          <cell r="F17">
            <v>4.7957697342742076E-4</v>
          </cell>
          <cell r="G17">
            <v>20681.756979057522</v>
          </cell>
          <cell r="H17">
            <v>4.5456936917977336E-3</v>
          </cell>
          <cell r="I17">
            <v>326721.73409796209</v>
          </cell>
          <cell r="J17">
            <v>635605</v>
          </cell>
        </row>
        <row r="18">
          <cell r="A18">
            <v>6006</v>
          </cell>
          <cell r="B18" t="str">
            <v>Christchurch Polytechnic Institute of Technology</v>
          </cell>
          <cell r="C18" t="str">
            <v>ITP</v>
          </cell>
          <cell r="D18">
            <v>2.7422983242715152E-3</v>
          </cell>
          <cell r="E18">
            <v>473046.46093683637</v>
          </cell>
          <cell r="F18">
            <v>2.5681507288478022E-4</v>
          </cell>
          <cell r="G18">
            <v>11075.150018156146</v>
          </cell>
          <cell r="H18">
            <v>0</v>
          </cell>
          <cell r="I18">
            <v>0</v>
          </cell>
          <cell r="J18">
            <v>484122</v>
          </cell>
        </row>
        <row r="19">
          <cell r="A19">
            <v>6007</v>
          </cell>
          <cell r="B19" t="str">
            <v>Eastern Institute of Technology</v>
          </cell>
          <cell r="C19" t="str">
            <v>ITP</v>
          </cell>
          <cell r="D19">
            <v>2.75513495044735E-3</v>
          </cell>
          <cell r="E19">
            <v>475260.77895216789</v>
          </cell>
          <cell r="F19">
            <v>7.3054499911600322E-4</v>
          </cell>
          <cell r="G19">
            <v>31504.753086877638</v>
          </cell>
          <cell r="H19">
            <v>0</v>
          </cell>
          <cell r="I19">
            <v>0</v>
          </cell>
          <cell r="J19">
            <v>506766</v>
          </cell>
        </row>
        <row r="20">
          <cell r="A20">
            <v>6010</v>
          </cell>
          <cell r="B20" t="str">
            <v>Manukau Institute of Technology</v>
          </cell>
          <cell r="C20" t="str">
            <v>ITP</v>
          </cell>
          <cell r="D20">
            <v>2.255888935485634E-3</v>
          </cell>
          <cell r="E20">
            <v>389140.84137127188</v>
          </cell>
          <cell r="F20">
            <v>9.5676295940047177E-5</v>
          </cell>
          <cell r="G20">
            <v>4126.0402624145345</v>
          </cell>
          <cell r="H20">
            <v>0</v>
          </cell>
          <cell r="I20">
            <v>0</v>
          </cell>
          <cell r="J20">
            <v>393267</v>
          </cell>
        </row>
        <row r="21">
          <cell r="A21">
            <v>9386</v>
          </cell>
          <cell r="B21" t="str">
            <v>Te Whare Wananga O Awanuiarangi</v>
          </cell>
          <cell r="C21" t="str">
            <v>Wananga</v>
          </cell>
          <cell r="D21">
            <v>8.7921014976643998E-4</v>
          </cell>
          <cell r="E21">
            <v>151663.7508347109</v>
          </cell>
          <cell r="F21">
            <v>1.3892743520809866E-3</v>
          </cell>
          <cell r="G21">
            <v>59912.456433492545</v>
          </cell>
          <cell r="H21">
            <v>4.3910947788466338E-3</v>
          </cell>
          <cell r="I21">
            <v>315609.93722960178</v>
          </cell>
          <cell r="J21">
            <v>527186</v>
          </cell>
        </row>
        <row r="22">
          <cell r="A22">
            <v>8509</v>
          </cell>
          <cell r="B22" t="str">
            <v>Whitecliffe College of Arts and Design</v>
          </cell>
          <cell r="C22" t="str">
            <v>PTE</v>
          </cell>
          <cell r="D22">
            <v>8.6815090259956642E-4</v>
          </cell>
          <cell r="E22">
            <v>149756.03069842519</v>
          </cell>
          <cell r="F22">
            <v>0</v>
          </cell>
          <cell r="G22">
            <v>0</v>
          </cell>
          <cell r="H22">
            <v>1.0927148297590701E-3</v>
          </cell>
          <cell r="I22">
            <v>78538.878388933168</v>
          </cell>
          <cell r="J22">
            <v>228295</v>
          </cell>
        </row>
        <row r="23">
          <cell r="A23">
            <v>6014</v>
          </cell>
          <cell r="B23" t="str">
            <v>Whitireia Community Polytechnic</v>
          </cell>
          <cell r="C23" t="str">
            <v>ITP</v>
          </cell>
          <cell r="D23">
            <v>9.3213654692219153E-4</v>
          </cell>
          <cell r="E23">
            <v>160793.55434407803</v>
          </cell>
          <cell r="F23">
            <v>3.1047389631923343E-4</v>
          </cell>
          <cell r="G23">
            <v>13389.186778766942</v>
          </cell>
          <cell r="H23">
            <v>0</v>
          </cell>
          <cell r="I23">
            <v>0</v>
          </cell>
          <cell r="J23">
            <v>174183</v>
          </cell>
        </row>
        <row r="24">
          <cell r="A24">
            <v>6022</v>
          </cell>
          <cell r="B24" t="str">
            <v>Open Polytechnic of New Zealand</v>
          </cell>
          <cell r="C24" t="str">
            <v>ITP</v>
          </cell>
          <cell r="D24">
            <v>8.847397733498766E-4</v>
          </cell>
          <cell r="E24">
            <v>152617.61090285372</v>
          </cell>
          <cell r="F24">
            <v>9.5483110150406964E-5</v>
          </cell>
          <cell r="G24">
            <v>4117.7091252363007</v>
          </cell>
          <cell r="H24">
            <v>0</v>
          </cell>
          <cell r="I24">
            <v>0</v>
          </cell>
          <cell r="J24">
            <v>156735</v>
          </cell>
        </row>
        <row r="25">
          <cell r="A25">
            <v>6008</v>
          </cell>
          <cell r="B25" t="str">
            <v>Wellington Institute of Technology</v>
          </cell>
          <cell r="C25" t="str">
            <v>ITP</v>
          </cell>
          <cell r="D25">
            <v>7.0384208754887504E-4</v>
          </cell>
          <cell r="E25">
            <v>121412.76010218094</v>
          </cell>
          <cell r="F25">
            <v>7.4670991667376936E-4</v>
          </cell>
          <cell r="G25">
            <v>32201.865156556305</v>
          </cell>
          <cell r="H25">
            <v>0</v>
          </cell>
          <cell r="I25">
            <v>0</v>
          </cell>
          <cell r="J25">
            <v>153615</v>
          </cell>
        </row>
        <row r="26">
          <cell r="A26">
            <v>8563</v>
          </cell>
          <cell r="B26" t="str">
            <v>Laidlaw College Inc</v>
          </cell>
          <cell r="C26" t="str">
            <v>PTE</v>
          </cell>
          <cell r="D26">
            <v>4.1077203762672845E-4</v>
          </cell>
          <cell r="E26">
            <v>70858.176490610655</v>
          </cell>
          <cell r="F26">
            <v>6.5049302810956912E-5</v>
          </cell>
          <cell r="G26">
            <v>2805.251183722517</v>
          </cell>
          <cell r="H26">
            <v>3.763795524725686E-4</v>
          </cell>
          <cell r="I26">
            <v>27052.280333965868</v>
          </cell>
          <cell r="J26">
            <v>100716</v>
          </cell>
        </row>
        <row r="27">
          <cell r="A27">
            <v>6012</v>
          </cell>
          <cell r="B27" t="str">
            <v>Northland Polytechnic</v>
          </cell>
          <cell r="C27" t="str">
            <v>ITP</v>
          </cell>
          <cell r="D27">
            <v>5.7271101399880412E-4</v>
          </cell>
          <cell r="E27">
            <v>98792.649914793714</v>
          </cell>
          <cell r="F27">
            <v>1.3571189284609206E-5</v>
          </cell>
          <cell r="G27">
            <v>585.25753789877206</v>
          </cell>
          <cell r="H27">
            <v>0</v>
          </cell>
          <cell r="I27">
            <v>0</v>
          </cell>
          <cell r="J27">
            <v>99378</v>
          </cell>
        </row>
        <row r="28">
          <cell r="A28">
            <v>8979</v>
          </cell>
          <cell r="B28" t="str">
            <v>Carey Baptist College</v>
          </cell>
          <cell r="C28" t="str">
            <v>PTE</v>
          </cell>
          <cell r="D28">
            <v>2.962298348269676E-4</v>
          </cell>
          <cell r="E28">
            <v>51099.646507651909</v>
          </cell>
          <cell r="F28">
            <v>0</v>
          </cell>
          <cell r="G28">
            <v>0</v>
          </cell>
          <cell r="H28">
            <v>0</v>
          </cell>
          <cell r="I28">
            <v>0</v>
          </cell>
          <cell r="J28">
            <v>51100</v>
          </cell>
        </row>
        <row r="29">
          <cell r="A29">
            <v>8530</v>
          </cell>
          <cell r="B29" t="str">
            <v>AIS St Helens</v>
          </cell>
          <cell r="C29" t="str">
            <v>PTE</v>
          </cell>
          <cell r="D29">
            <v>2.2908440559952167E-4</v>
          </cell>
          <cell r="E29">
            <v>39517.059965917484</v>
          </cell>
          <cell r="F29">
            <v>0</v>
          </cell>
          <cell r="G29">
            <v>0</v>
          </cell>
          <cell r="H29">
            <v>0</v>
          </cell>
          <cell r="I29">
            <v>0</v>
          </cell>
          <cell r="J29">
            <v>39517</v>
          </cell>
        </row>
        <row r="30">
          <cell r="A30">
            <v>8694</v>
          </cell>
          <cell r="B30" t="str">
            <v>Bethlehem Institute of Education</v>
          </cell>
          <cell r="C30" t="str">
            <v>PTE</v>
          </cell>
          <cell r="D30">
            <v>1.1849193393078705E-4</v>
          </cell>
          <cell r="E30">
            <v>20439.858603060766</v>
          </cell>
          <cell r="F30">
            <v>1.598874051295639E-4</v>
          </cell>
          <cell r="G30">
            <v>6895.1443462124435</v>
          </cell>
          <cell r="H30">
            <v>0</v>
          </cell>
          <cell r="I30">
            <v>0</v>
          </cell>
          <cell r="J30">
            <v>27335</v>
          </cell>
        </row>
        <row r="31">
          <cell r="A31">
            <v>8396</v>
          </cell>
          <cell r="B31" t="str">
            <v>New Zealand College of Chiropractic</v>
          </cell>
          <cell r="C31" t="str">
            <v>PTE</v>
          </cell>
          <cell r="D31">
            <v>1.579892452410494E-4</v>
          </cell>
          <cell r="E31">
            <v>27253.144804081021</v>
          </cell>
          <cell r="F31">
            <v>1.9314895098855361E-4</v>
          </cell>
          <cell r="G31">
            <v>8329.5485113813738</v>
          </cell>
          <cell r="H31">
            <v>0</v>
          </cell>
          <cell r="I31">
            <v>0</v>
          </cell>
          <cell r="J31">
            <v>35583</v>
          </cell>
        </row>
        <row r="32">
          <cell r="A32">
            <v>8619</v>
          </cell>
          <cell r="B32" t="str">
            <v>New Zealand Tertiary College</v>
          </cell>
          <cell r="C32" t="str">
            <v>PTE</v>
          </cell>
          <cell r="D32">
            <v>1.1849193393078705E-4</v>
          </cell>
          <cell r="E32">
            <v>20439.858603060766</v>
          </cell>
          <cell r="F32">
            <v>5.1128326607422045E-5</v>
          </cell>
          <cell r="G32">
            <v>2204.9090849450758</v>
          </cell>
          <cell r="H32">
            <v>0</v>
          </cell>
          <cell r="I32">
            <v>0</v>
          </cell>
          <cell r="J32">
            <v>22645</v>
          </cell>
        </row>
        <row r="33">
          <cell r="A33">
            <v>8717</v>
          </cell>
          <cell r="B33" t="str">
            <v>Good Shepherd College - Te Hepara Pai</v>
          </cell>
          <cell r="C33" t="str">
            <v>PTE</v>
          </cell>
          <cell r="D33">
            <v>7.89946226205247E-5</v>
          </cell>
          <cell r="E33">
            <v>13626.57240204051</v>
          </cell>
          <cell r="F33">
            <v>0</v>
          </cell>
          <cell r="G33">
            <v>0</v>
          </cell>
          <cell r="H33">
            <v>0</v>
          </cell>
          <cell r="I33">
            <v>0</v>
          </cell>
          <cell r="J33">
            <v>13627</v>
          </cell>
        </row>
        <row r="34">
          <cell r="A34">
            <v>6505</v>
          </cell>
          <cell r="B34" t="str">
            <v>Christchurch College of Education</v>
          </cell>
          <cell r="C34" t="str">
            <v>PTE</v>
          </cell>
          <cell r="D34">
            <v>0</v>
          </cell>
          <cell r="E34">
            <v>0</v>
          </cell>
          <cell r="F34">
            <v>0</v>
          </cell>
          <cell r="G34">
            <v>0</v>
          </cell>
          <cell r="H34">
            <v>0</v>
          </cell>
          <cell r="I34">
            <v>0</v>
          </cell>
          <cell r="J34">
            <v>0</v>
          </cell>
        </row>
        <row r="37">
          <cell r="B37" t="str">
            <v>Grand Total</v>
          </cell>
          <cell r="D37">
            <v>1.0000000000000002</v>
          </cell>
          <cell r="E37">
            <v>172500000.00000003</v>
          </cell>
          <cell r="F37">
            <v>0.99999999999999978</v>
          </cell>
          <cell r="G37">
            <v>43124999.999999993</v>
          </cell>
          <cell r="H37">
            <v>1</v>
          </cell>
          <cell r="I37">
            <v>71875000</v>
          </cell>
          <cell r="J37">
            <v>287500003</v>
          </cell>
        </row>
        <row r="38">
          <cell r="E38">
            <v>0</v>
          </cell>
          <cell r="G38">
            <v>0</v>
          </cell>
          <cell r="I38">
            <v>0</v>
          </cell>
          <cell r="J38">
            <v>-3</v>
          </cell>
        </row>
        <row r="41">
          <cell r="B41" t="str">
            <v>Total Available Pool 2015</v>
          </cell>
        </row>
        <row r="42">
          <cell r="B42" t="str">
            <v>PBRF pool size 2015 (GST exclusive)</v>
          </cell>
          <cell r="E42">
            <v>287500000</v>
          </cell>
        </row>
        <row r="44">
          <cell r="B44" t="str">
            <v>To be allocated:</v>
          </cell>
        </row>
        <row r="45">
          <cell r="B45" t="str">
            <v>Quality Evaluation</v>
          </cell>
          <cell r="D45">
            <v>0.6</v>
          </cell>
          <cell r="E45">
            <v>172500000</v>
          </cell>
          <cell r="G45">
            <v>4657500.0000000009</v>
          </cell>
        </row>
        <row r="46">
          <cell r="B46" t="str">
            <v>External Research Income</v>
          </cell>
          <cell r="D46">
            <v>0.15</v>
          </cell>
          <cell r="E46">
            <v>43125000</v>
          </cell>
          <cell r="G46">
            <v>27945000.000000007</v>
          </cell>
        </row>
        <row r="47">
          <cell r="B47" t="str">
            <v>Research Degree Completions</v>
          </cell>
          <cell r="D47">
            <v>0.25</v>
          </cell>
          <cell r="E47">
            <v>71875000</v>
          </cell>
        </row>
        <row r="48">
          <cell r="E48">
            <v>287500000</v>
          </cell>
        </row>
        <row r="51">
          <cell r="B51" t="str">
            <v>TEOs that have exited the PBRF</v>
          </cell>
        </row>
        <row r="52">
          <cell r="B52" t="str">
            <v>Nelson Marlborough Institute of Technology</v>
          </cell>
        </row>
        <row r="53">
          <cell r="B53" t="str">
            <v>Christchurch College of Education</v>
          </cell>
        </row>
        <row r="54">
          <cell r="B54" t="str">
            <v>Dunedin College of Education</v>
          </cell>
        </row>
        <row r="55">
          <cell r="B55" t="str">
            <v>Te Wananga O Aotearoa</v>
          </cell>
        </row>
        <row r="57">
          <cell r="B57" t="str">
            <v>TEOs that are new to the PBRF - no data available for RDC and ERI</v>
          </cell>
        </row>
        <row r="58">
          <cell r="B58" t="str">
            <v>New Zealand College of Chiropractic</v>
          </cell>
        </row>
        <row r="59">
          <cell r="B59" t="str">
            <v>New Zealand Tertiary College</v>
          </cell>
        </row>
        <row r="60">
          <cell r="B60" t="str">
            <v>Wellington Institute of Technology</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PBRF Indicative Allocation"/>
      <sheetName val="TCM"/>
      <sheetName val="Address Details"/>
      <sheetName val="RDC "/>
      <sheetName val="ERI"/>
      <sheetName val="QE"/>
      <sheetName val="Transfers for QE"/>
      <sheetName val="Calculator for QE"/>
    </sheetNames>
    <sheetDataSet>
      <sheetData sheetId="0">
        <row r="1">
          <cell r="A1" t="str">
            <v>PBRF 2016 Indicative Allocation</v>
          </cell>
        </row>
        <row r="2">
          <cell r="A2" t="str">
            <v>GST exclusive</v>
          </cell>
        </row>
        <row r="3">
          <cell r="A3" t="str">
            <v>Approved Memo: A949389</v>
          </cell>
        </row>
        <row r="4">
          <cell r="D4" t="str">
            <v>Quality Evaluation</v>
          </cell>
          <cell r="F4" t="str">
            <v>External Research Income</v>
          </cell>
          <cell r="H4" t="str">
            <v>Research Degree Completion</v>
          </cell>
        </row>
        <row r="5">
          <cell r="A5" t="str">
            <v>EDUMIS</v>
          </cell>
          <cell r="B5" t="str">
            <v>TEO</v>
          </cell>
          <cell r="C5" t="str">
            <v>TEO type</v>
          </cell>
          <cell r="D5" t="str">
            <v>QE Ratio</v>
          </cell>
          <cell r="E5" t="str">
            <v>QE Funding</v>
          </cell>
          <cell r="F5" t="str">
            <v>ERI Ratio</v>
          </cell>
          <cell r="G5" t="str">
            <v>ERI Funding</v>
          </cell>
          <cell r="H5" t="str">
            <v>RDC Ratio</v>
          </cell>
          <cell r="I5" t="str">
            <v>RDC Funding</v>
          </cell>
        </row>
        <row r="7">
          <cell r="A7">
            <v>7001</v>
          </cell>
          <cell r="B7" t="str">
            <v>The University of Auckland</v>
          </cell>
          <cell r="C7" t="str">
            <v>University</v>
          </cell>
          <cell r="D7">
            <v>0.28301799340972411</v>
          </cell>
          <cell r="E7">
            <v>46697968.912604481</v>
          </cell>
          <cell r="F7">
            <v>0.34092677706413266</v>
          </cell>
          <cell r="G7">
            <v>20455606.623847958</v>
          </cell>
          <cell r="H7">
            <v>0.29892937292505378</v>
          </cell>
          <cell r="I7">
            <v>22419702.969379034</v>
          </cell>
        </row>
        <row r="8">
          <cell r="A8">
            <v>7007</v>
          </cell>
          <cell r="B8" t="str">
            <v>University of Otago</v>
          </cell>
          <cell r="C8" t="str">
            <v>University</v>
          </cell>
          <cell r="D8">
            <v>0.21366091486861413</v>
          </cell>
          <cell r="E8">
            <v>35254050.95332133</v>
          </cell>
          <cell r="F8">
            <v>0.21673466909020422</v>
          </cell>
          <cell r="G8">
            <v>13004080.145412253</v>
          </cell>
          <cell r="H8">
            <v>0.15844492460633952</v>
          </cell>
          <cell r="I8">
            <v>11883369.345475463</v>
          </cell>
        </row>
        <row r="9">
          <cell r="A9">
            <v>7003</v>
          </cell>
          <cell r="B9" t="str">
            <v>Massey University</v>
          </cell>
          <cell r="C9" t="str">
            <v>University</v>
          </cell>
          <cell r="D9">
            <v>0.14008045030311814</v>
          </cell>
          <cell r="E9">
            <v>23113274.300014492</v>
          </cell>
          <cell r="F9">
            <v>0.13803717779979899</v>
          </cell>
          <cell r="G9">
            <v>8282230.667987939</v>
          </cell>
          <cell r="H9">
            <v>0.12228749744978369</v>
          </cell>
          <cell r="I9">
            <v>9171562.3087337762</v>
          </cell>
        </row>
        <row r="10">
          <cell r="A10">
            <v>7004</v>
          </cell>
          <cell r="B10" t="str">
            <v>Victoria University of Wellington</v>
          </cell>
          <cell r="C10" t="str">
            <v>University</v>
          </cell>
          <cell r="D10">
            <v>0.10256451148721936</v>
          </cell>
          <cell r="E10">
            <v>16923144.395391196</v>
          </cell>
          <cell r="F10">
            <v>9.4779526768678998E-2</v>
          </cell>
          <cell r="G10">
            <v>5686771.6061207401</v>
          </cell>
          <cell r="H10">
            <v>0.12490494649182915</v>
          </cell>
          <cell r="I10">
            <v>9367870.9868871868</v>
          </cell>
        </row>
        <row r="11">
          <cell r="A11">
            <v>7005</v>
          </cell>
          <cell r="B11" t="str">
            <v>University of Canterbury</v>
          </cell>
          <cell r="C11" t="str">
            <v>University</v>
          </cell>
          <cell r="D11">
            <v>9.7422224870031951E-2</v>
          </cell>
          <cell r="E11">
            <v>16074667.103555271</v>
          </cell>
          <cell r="F11">
            <v>6.9155819124782011E-2</v>
          </cell>
          <cell r="G11">
            <v>4149349.1474869205</v>
          </cell>
          <cell r="H11">
            <v>0.11380300585467787</v>
          </cell>
          <cell r="I11">
            <v>8535225.4391008411</v>
          </cell>
        </row>
        <row r="12">
          <cell r="A12">
            <v>7002</v>
          </cell>
          <cell r="B12" t="str">
            <v>University of Waikato</v>
          </cell>
          <cell r="C12" t="str">
            <v>University</v>
          </cell>
          <cell r="D12">
            <v>5.4315126571151513E-2</v>
          </cell>
          <cell r="E12">
            <v>8961995.8842399996</v>
          </cell>
          <cell r="F12">
            <v>4.6347495000306146E-2</v>
          </cell>
          <cell r="G12">
            <v>2780849.7000183687</v>
          </cell>
          <cell r="H12">
            <v>5.454139387082578E-2</v>
          </cell>
          <cell r="I12">
            <v>4090604.5403119335</v>
          </cell>
        </row>
        <row r="13">
          <cell r="A13">
            <v>7006</v>
          </cell>
          <cell r="B13" t="str">
            <v>Lincoln University</v>
          </cell>
          <cell r="C13" t="str">
            <v>University</v>
          </cell>
          <cell r="D13">
            <v>2.7202193272490779E-2</v>
          </cell>
          <cell r="E13">
            <v>4488361.8899609782</v>
          </cell>
          <cell r="F13">
            <v>6.5398931950866962E-2</v>
          </cell>
          <cell r="G13">
            <v>3923935.9170520175</v>
          </cell>
          <cell r="H13">
            <v>3.0042318130954135E-2</v>
          </cell>
          <cell r="I13">
            <v>2253173.8598215603</v>
          </cell>
        </row>
        <row r="14">
          <cell r="A14">
            <v>7008</v>
          </cell>
          <cell r="B14" t="str">
            <v>Auckland University of Technology (AUT)</v>
          </cell>
          <cell r="C14" t="str">
            <v>University</v>
          </cell>
          <cell r="D14">
            <v>4.8661892202238183E-2</v>
          </cell>
          <cell r="E14">
            <v>8029212.2133693006</v>
          </cell>
          <cell r="F14">
            <v>2.2057802565545966E-2</v>
          </cell>
          <cell r="G14">
            <v>1323468.1539327579</v>
          </cell>
          <cell r="H14">
            <v>6.5155702283138425E-2</v>
          </cell>
          <cell r="I14">
            <v>4886677.6712353816</v>
          </cell>
        </row>
        <row r="15">
          <cell r="A15">
            <v>6004</v>
          </cell>
          <cell r="B15" t="str">
            <v>Unitec New Zealand</v>
          </cell>
          <cell r="C15" t="str">
            <v>ITP</v>
          </cell>
          <cell r="D15">
            <v>1.2356931329972131E-2</v>
          </cell>
          <cell r="E15">
            <v>2038893.6694454015</v>
          </cell>
          <cell r="F15">
            <v>5.5323892149077296E-4</v>
          </cell>
          <cell r="G15">
            <v>33194.335289446375</v>
          </cell>
          <cell r="H15">
            <v>1.840869608224972E-2</v>
          </cell>
          <cell r="I15">
            <v>1380652.2061687289</v>
          </cell>
        </row>
        <row r="16">
          <cell r="A16">
            <v>6013</v>
          </cell>
          <cell r="B16" t="str">
            <v>Otago Polytechnic</v>
          </cell>
          <cell r="C16" t="str">
            <v>ITP</v>
          </cell>
          <cell r="D16">
            <v>5.0428587188490548E-3</v>
          </cell>
          <cell r="E16">
            <v>832071.68861009402</v>
          </cell>
          <cell r="F16">
            <v>2.7732546176124817E-3</v>
          </cell>
          <cell r="G16">
            <v>166395.27705674889</v>
          </cell>
          <cell r="H16">
            <v>1.640639006868571E-3</v>
          </cell>
          <cell r="I16">
            <v>123047.92551514282</v>
          </cell>
        </row>
        <row r="17">
          <cell r="A17">
            <v>6019</v>
          </cell>
          <cell r="B17" t="str">
            <v>Waikato Institute of Technology</v>
          </cell>
          <cell r="C17" t="str">
            <v>ITP</v>
          </cell>
          <cell r="D17">
            <v>1.6707362684240973E-3</v>
          </cell>
          <cell r="E17">
            <v>275671.48428997607</v>
          </cell>
          <cell r="F17">
            <v>3.4352821201812079E-4</v>
          </cell>
          <cell r="G17">
            <v>20611.692721087245</v>
          </cell>
          <cell r="H17">
            <v>4.7781775692267436E-3</v>
          </cell>
          <cell r="I17">
            <v>358363.31769200577</v>
          </cell>
        </row>
        <row r="18">
          <cell r="A18">
            <v>6006</v>
          </cell>
          <cell r="B18" t="str">
            <v>Ara Institute of Canterbury</v>
          </cell>
          <cell r="C18" t="str">
            <v>ITP</v>
          </cell>
          <cell r="D18">
            <v>2.7422983242715152E-3</v>
          </cell>
          <cell r="E18">
            <v>452479.2235048</v>
          </cell>
          <cell r="F18">
            <v>1.8607743722936606E-4</v>
          </cell>
          <cell r="G18">
            <v>11164.646233761963</v>
          </cell>
          <cell r="H18">
            <v>0</v>
          </cell>
          <cell r="I18">
            <v>0</v>
          </cell>
        </row>
        <row r="19">
          <cell r="A19">
            <v>6007</v>
          </cell>
          <cell r="B19" t="str">
            <v>Eastern Institute of Technology</v>
          </cell>
          <cell r="C19" t="str">
            <v>ITP</v>
          </cell>
          <cell r="D19">
            <v>2.75513495044735E-3</v>
          </cell>
          <cell r="E19">
            <v>454597.26682381274</v>
          </cell>
          <cell r="F19">
            <v>6.3513129150403146E-4</v>
          </cell>
          <cell r="G19">
            <v>38107.877490241888</v>
          </cell>
          <cell r="H19">
            <v>0</v>
          </cell>
          <cell r="I19">
            <v>0</v>
          </cell>
        </row>
        <row r="20">
          <cell r="A20">
            <v>6010</v>
          </cell>
          <cell r="B20" t="str">
            <v>Manukau Institute of Technology</v>
          </cell>
          <cell r="C20" t="str">
            <v>ITP</v>
          </cell>
          <cell r="D20">
            <v>2.255888935485634E-3</v>
          </cell>
          <cell r="E20">
            <v>372221.67435512959</v>
          </cell>
          <cell r="F20">
            <v>1.5085304591892058E-4</v>
          </cell>
          <cell r="G20">
            <v>9051.1827551352344</v>
          </cell>
          <cell r="H20">
            <v>0</v>
          </cell>
          <cell r="I20">
            <v>0</v>
          </cell>
        </row>
        <row r="21">
          <cell r="A21">
            <v>9386</v>
          </cell>
          <cell r="B21" t="str">
            <v>Te Whare Wananga O Awanuiarangi</v>
          </cell>
          <cell r="C21" t="str">
            <v>Wananga</v>
          </cell>
          <cell r="D21">
            <v>8.7921014976643998E-4</v>
          </cell>
          <cell r="E21">
            <v>145069.67471146261</v>
          </cell>
          <cell r="F21">
            <v>5.7142929864958361E-4</v>
          </cell>
          <cell r="G21">
            <v>34285.757918975018</v>
          </cell>
          <cell r="H21">
            <v>5.0888402544651632E-3</v>
          </cell>
          <cell r="I21">
            <v>381663.01908488723</v>
          </cell>
        </row>
        <row r="22">
          <cell r="A22">
            <v>8509</v>
          </cell>
          <cell r="B22" t="str">
            <v>Whitecliffe Enterprises Limited</v>
          </cell>
          <cell r="C22" t="str">
            <v>PTE</v>
          </cell>
          <cell r="D22">
            <v>8.6815090259956642E-4</v>
          </cell>
          <cell r="E22">
            <v>143244.89892892845</v>
          </cell>
          <cell r="F22">
            <v>0</v>
          </cell>
          <cell r="G22">
            <v>0</v>
          </cell>
          <cell r="H22">
            <v>1.661504411101002E-3</v>
          </cell>
          <cell r="I22">
            <v>124612.83083257516</v>
          </cell>
        </row>
        <row r="23">
          <cell r="A23">
            <v>6014</v>
          </cell>
          <cell r="B23" t="str">
            <v>Whitireia New Zealand</v>
          </cell>
          <cell r="C23" t="str">
            <v>ITP</v>
          </cell>
          <cell r="D23">
            <v>9.3213654692219153E-4</v>
          </cell>
          <cell r="E23">
            <v>153802.53024216159</v>
          </cell>
          <cell r="F23">
            <v>2.152769412296398E-4</v>
          </cell>
          <cell r="G23">
            <v>12916.616473778387</v>
          </cell>
          <cell r="H23">
            <v>0</v>
          </cell>
          <cell r="I23">
            <v>0</v>
          </cell>
        </row>
        <row r="24">
          <cell r="A24">
            <v>6022</v>
          </cell>
          <cell r="B24" t="str">
            <v>Open Polytechnic of New Zealand</v>
          </cell>
          <cell r="C24" t="str">
            <v>ITP</v>
          </cell>
          <cell r="D24">
            <v>8.847397733498766E-4</v>
          </cell>
          <cell r="E24">
            <v>145982.06260272962</v>
          </cell>
          <cell r="F24">
            <v>4.5818063115053827E-5</v>
          </cell>
          <cell r="G24">
            <v>2749.0837869032298</v>
          </cell>
          <cell r="H24">
            <v>0</v>
          </cell>
          <cell r="I24">
            <v>0</v>
          </cell>
        </row>
        <row r="25">
          <cell r="A25">
            <v>6008</v>
          </cell>
          <cell r="B25" t="str">
            <v>Wellington Institute of Technology</v>
          </cell>
          <cell r="C25" t="str">
            <v>ITP</v>
          </cell>
          <cell r="D25">
            <v>7.0384208754887504E-4</v>
          </cell>
          <cell r="E25">
            <v>116133.94444556438</v>
          </cell>
          <cell r="F25">
            <v>4.5689811967589692E-4</v>
          </cell>
          <cell r="G25">
            <v>27413.887180553815</v>
          </cell>
          <cell r="H25">
            <v>0</v>
          </cell>
          <cell r="I25">
            <v>0</v>
          </cell>
        </row>
        <row r="26">
          <cell r="A26">
            <v>8563</v>
          </cell>
          <cell r="B26" t="str">
            <v>Laidlaw College Incorporated</v>
          </cell>
          <cell r="C26" t="str">
            <v>PTE</v>
          </cell>
          <cell r="D26">
            <v>4.1077203762672845E-4</v>
          </cell>
          <cell r="E26">
            <v>67777.3862084102</v>
          </cell>
          <cell r="F26">
            <v>3.5493635476190645E-5</v>
          </cell>
          <cell r="G26">
            <v>2129.6181285714388</v>
          </cell>
          <cell r="H26">
            <v>3.1298106348646786E-4</v>
          </cell>
          <cell r="I26">
            <v>23473.579761485089</v>
          </cell>
        </row>
        <row r="27">
          <cell r="A27">
            <v>6012</v>
          </cell>
          <cell r="B27" t="str">
            <v>NorthTec</v>
          </cell>
          <cell r="C27" t="str">
            <v>ITP</v>
          </cell>
          <cell r="D27">
            <v>5.7271101399880412E-4</v>
          </cell>
          <cell r="E27">
            <v>94497.317309802675</v>
          </cell>
          <cell r="F27">
            <v>7.4629724398216178E-6</v>
          </cell>
          <cell r="G27">
            <v>447.77834638929704</v>
          </cell>
          <cell r="H27">
            <v>0</v>
          </cell>
          <cell r="I27">
            <v>0</v>
          </cell>
        </row>
        <row r="28">
          <cell r="A28">
            <v>8979</v>
          </cell>
          <cell r="B28" t="str">
            <v>Carey Baptist College Foundation</v>
          </cell>
          <cell r="C28" t="str">
            <v>PTE</v>
          </cell>
          <cell r="D28">
            <v>2.962298348269676E-4</v>
          </cell>
          <cell r="E28">
            <v>48877.922746449658</v>
          </cell>
          <cell r="F28">
            <v>0</v>
          </cell>
          <cell r="G28">
            <v>0</v>
          </cell>
          <cell r="H28">
            <v>0</v>
          </cell>
          <cell r="I28">
            <v>0</v>
          </cell>
        </row>
        <row r="29">
          <cell r="A29">
            <v>8530</v>
          </cell>
          <cell r="B29" t="str">
            <v>Auckland Institute of Studies Limited</v>
          </cell>
          <cell r="C29" t="str">
            <v>PTE</v>
          </cell>
          <cell r="D29">
            <v>2.2908440559952167E-4</v>
          </cell>
          <cell r="E29">
            <v>37798.926923921077</v>
          </cell>
          <cell r="F29">
            <v>0</v>
          </cell>
          <cell r="G29">
            <v>0</v>
          </cell>
          <cell r="H29">
            <v>0</v>
          </cell>
          <cell r="I29">
            <v>0</v>
          </cell>
        </row>
        <row r="30">
          <cell r="A30">
            <v>8694</v>
          </cell>
          <cell r="B30" t="str">
            <v>Bethlehem Institute Limited</v>
          </cell>
          <cell r="C30" t="str">
            <v>PTE</v>
          </cell>
          <cell r="D30">
            <v>1.1849193393078705E-4</v>
          </cell>
          <cell r="E30">
            <v>19551.169098579863</v>
          </cell>
          <cell r="F30">
            <v>1.9119798715374573E-4</v>
          </cell>
          <cell r="G30">
            <v>11471.879229224744</v>
          </cell>
          <cell r="H30">
            <v>0</v>
          </cell>
          <cell r="I30">
            <v>0</v>
          </cell>
        </row>
        <row r="31">
          <cell r="A31">
            <v>8396</v>
          </cell>
          <cell r="B31" t="str">
            <v>The New Zealand Chiropractic Education Trust Board</v>
          </cell>
          <cell r="C31" t="str">
            <v>PTE</v>
          </cell>
          <cell r="D31">
            <v>1.579892452410494E-4</v>
          </cell>
          <cell r="E31">
            <v>26068.22546477315</v>
          </cell>
          <cell r="F31">
            <v>3.3222589635704296E-4</v>
          </cell>
          <cell r="G31">
            <v>19933.553781422579</v>
          </cell>
          <cell r="H31">
            <v>0</v>
          </cell>
          <cell r="I31">
            <v>0</v>
          </cell>
        </row>
        <row r="32">
          <cell r="A32">
            <v>8619</v>
          </cell>
          <cell r="B32" t="str">
            <v>New Zealand Tertiary College Limited</v>
          </cell>
          <cell r="C32" t="str">
            <v>PTE</v>
          </cell>
          <cell r="D32">
            <v>1.1849193393078705E-4</v>
          </cell>
          <cell r="E32">
            <v>19551.169098579863</v>
          </cell>
          <cell r="F32">
            <v>6.3914195813176761E-5</v>
          </cell>
          <cell r="G32">
            <v>3834.8517487906056</v>
          </cell>
          <cell r="H32">
            <v>0</v>
          </cell>
          <cell r="I32">
            <v>0</v>
          </cell>
        </row>
        <row r="33">
          <cell r="A33">
            <v>8717</v>
          </cell>
          <cell r="B33" t="str">
            <v>Good Shepherd College - Te Hepara Pai Charitable Trust</v>
          </cell>
          <cell r="C33" t="str">
            <v>PTE</v>
          </cell>
          <cell r="D33">
            <v>7.89946226205247E-5</v>
          </cell>
          <cell r="E33">
            <v>13034.112732386575</v>
          </cell>
          <cell r="F33">
            <v>0</v>
          </cell>
          <cell r="G33">
            <v>0</v>
          </cell>
          <cell r="H33">
            <v>0</v>
          </cell>
          <cell r="I33">
            <v>0</v>
          </cell>
        </row>
        <row r="36">
          <cell r="B36" t="str">
            <v>Grand Total</v>
          </cell>
          <cell r="D36">
            <v>1.0000000000000002</v>
          </cell>
          <cell r="E36">
            <v>165000000.00000003</v>
          </cell>
          <cell r="F36">
            <v>0.99999999999999967</v>
          </cell>
          <cell r="G36">
            <v>59999999.999999985</v>
          </cell>
          <cell r="H36">
            <v>1</v>
          </cell>
          <cell r="I36">
            <v>75000000</v>
          </cell>
        </row>
        <row r="37">
          <cell r="E37">
            <v>0</v>
          </cell>
          <cell r="G37">
            <v>0</v>
          </cell>
          <cell r="I37">
            <v>0</v>
          </cell>
        </row>
        <row r="40">
          <cell r="B40" t="str">
            <v>Total Available Pool 2016</v>
          </cell>
        </row>
        <row r="41">
          <cell r="B41" t="str">
            <v>PBRF pool size 2015 (GST exclusive)</v>
          </cell>
          <cell r="E41">
            <v>300000000</v>
          </cell>
        </row>
        <row r="43">
          <cell r="B43" t="str">
            <v>To be allocated:</v>
          </cell>
        </row>
        <row r="44">
          <cell r="B44" t="str">
            <v>Quality Evaluation</v>
          </cell>
          <cell r="D44">
            <v>0.55000000000000004</v>
          </cell>
          <cell r="E44">
            <v>165000000</v>
          </cell>
          <cell r="G44">
            <v>4455000.0000000009</v>
          </cell>
        </row>
        <row r="45">
          <cell r="B45" t="str">
            <v>External Research Income</v>
          </cell>
          <cell r="D45">
            <v>0.2</v>
          </cell>
          <cell r="E45">
            <v>60000000</v>
          </cell>
          <cell r="G45">
            <v>26730000.000000007</v>
          </cell>
        </row>
        <row r="46">
          <cell r="B46" t="str">
            <v>Research Degree Completions</v>
          </cell>
          <cell r="D46">
            <v>0.25</v>
          </cell>
          <cell r="E46">
            <v>75000000</v>
          </cell>
        </row>
        <row r="47">
          <cell r="E47">
            <v>300000000</v>
          </cell>
        </row>
        <row r="50">
          <cell r="B50" t="str">
            <v>TEOs that have exited the PBRF</v>
          </cell>
        </row>
        <row r="51">
          <cell r="B51" t="str">
            <v>Nelson Marlborough Institute of Technology</v>
          </cell>
        </row>
        <row r="52">
          <cell r="B52" t="str">
            <v>Christchurch College of Education</v>
          </cell>
        </row>
        <row r="53">
          <cell r="B53" t="str">
            <v>Dunedin College of Education</v>
          </cell>
        </row>
        <row r="54">
          <cell r="B54" t="str">
            <v>Te Wananga O Aotearoa</v>
          </cell>
        </row>
        <row r="56">
          <cell r="B56" t="str">
            <v>TEOs that are new to the PBRF - no data available for RDC and ERI</v>
          </cell>
        </row>
        <row r="57">
          <cell r="B57" t="str">
            <v>New Zealand College of Chiropractic</v>
          </cell>
        </row>
        <row r="58">
          <cell r="B58" t="str">
            <v>New Zealand Tertiary College</v>
          </cell>
        </row>
        <row r="59">
          <cell r="B59" t="str">
            <v>Wellington Institute of Technology</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I"/>
      <sheetName val="Sheet1"/>
    </sheetNames>
    <sheetDataSet>
      <sheetData sheetId="0">
        <row r="1">
          <cell r="A1" t="str">
            <v>ERI Info for 2015 wash-up and annual report</v>
          </cell>
        </row>
        <row r="2">
          <cell r="A2" t="str">
            <v>Note:</v>
          </cell>
          <cell r="B2" t="str">
            <v>Information from provider only can be checked against previous work</v>
          </cell>
        </row>
        <row r="4">
          <cell r="A4" t="str">
            <v>EDUMIS</v>
          </cell>
          <cell r="B4" t="str">
            <v>TEO</v>
          </cell>
          <cell r="C4">
            <v>2005</v>
          </cell>
          <cell r="D4">
            <v>2006</v>
          </cell>
          <cell r="E4">
            <v>2007</v>
          </cell>
          <cell r="F4">
            <v>2008</v>
          </cell>
          <cell r="G4">
            <v>2009</v>
          </cell>
          <cell r="H4">
            <v>2010</v>
          </cell>
          <cell r="I4">
            <v>2011</v>
          </cell>
          <cell r="J4">
            <v>2012</v>
          </cell>
          <cell r="K4">
            <v>2013</v>
          </cell>
          <cell r="L4">
            <v>2014</v>
          </cell>
        </row>
        <row r="5">
          <cell r="A5">
            <v>6004</v>
          </cell>
          <cell r="B5" t="str">
            <v>Unitec New Zealand</v>
          </cell>
          <cell r="C5">
            <v>602563</v>
          </cell>
          <cell r="D5">
            <v>631030</v>
          </cell>
          <cell r="E5">
            <v>1582521</v>
          </cell>
          <cell r="F5">
            <v>1540671</v>
          </cell>
          <cell r="G5">
            <v>516996</v>
          </cell>
          <cell r="H5">
            <v>443738</v>
          </cell>
          <cell r="I5">
            <v>190925</v>
          </cell>
          <cell r="J5">
            <v>294863</v>
          </cell>
          <cell r="K5">
            <v>224333</v>
          </cell>
          <cell r="L5">
            <v>203112.81</v>
          </cell>
        </row>
        <row r="6">
          <cell r="A6">
            <v>6006</v>
          </cell>
          <cell r="B6" t="str">
            <v>Christchurch Polytechnic Institute of Technology</v>
          </cell>
          <cell r="C6">
            <v>247935</v>
          </cell>
          <cell r="D6">
            <v>296441</v>
          </cell>
          <cell r="E6">
            <v>841540</v>
          </cell>
          <cell r="F6">
            <v>207363</v>
          </cell>
          <cell r="G6">
            <v>161119</v>
          </cell>
          <cell r="H6">
            <v>259231</v>
          </cell>
          <cell r="I6">
            <v>153106</v>
          </cell>
          <cell r="J6">
            <v>152629</v>
          </cell>
          <cell r="K6">
            <v>54507</v>
          </cell>
          <cell r="L6">
            <v>66941</v>
          </cell>
        </row>
        <row r="7">
          <cell r="A7">
            <v>6007</v>
          </cell>
          <cell r="B7" t="str">
            <v>Eastern Institute of Technology</v>
          </cell>
          <cell r="C7">
            <v>10995</v>
          </cell>
          <cell r="D7">
            <v>13121</v>
          </cell>
          <cell r="E7">
            <v>16765</v>
          </cell>
          <cell r="F7">
            <v>95455</v>
          </cell>
          <cell r="G7">
            <v>232338.85</v>
          </cell>
          <cell r="H7">
            <v>284791.33</v>
          </cell>
          <cell r="I7">
            <v>176092.77</v>
          </cell>
          <cell r="J7">
            <v>291589.12</v>
          </cell>
          <cell r="K7">
            <v>332693.05</v>
          </cell>
          <cell r="L7">
            <v>194647</v>
          </cell>
        </row>
        <row r="8">
          <cell r="A8">
            <v>6008</v>
          </cell>
          <cell r="B8" t="str">
            <v>Wellington Institute of Technology</v>
          </cell>
          <cell r="G8">
            <v>153185</v>
          </cell>
          <cell r="H8">
            <v>325556</v>
          </cell>
          <cell r="I8">
            <v>524977</v>
          </cell>
          <cell r="J8">
            <v>435363</v>
          </cell>
          <cell r="K8">
            <v>140433</v>
          </cell>
          <cell r="L8">
            <v>141572.95000000001</v>
          </cell>
        </row>
        <row r="9">
          <cell r="A9">
            <v>6010</v>
          </cell>
          <cell r="B9" t="str">
            <v>Manukau Institute of Technology</v>
          </cell>
          <cell r="C9">
            <v>193919</v>
          </cell>
          <cell r="D9">
            <v>48302</v>
          </cell>
          <cell r="E9">
            <v>89559</v>
          </cell>
          <cell r="F9">
            <v>54782</v>
          </cell>
          <cell r="G9">
            <v>190493</v>
          </cell>
          <cell r="H9">
            <v>154124</v>
          </cell>
          <cell r="I9">
            <v>94413</v>
          </cell>
          <cell r="J9">
            <v>69854</v>
          </cell>
          <cell r="K9" t="str">
            <v>Not applicable</v>
          </cell>
          <cell r="L9">
            <v>101366</v>
          </cell>
        </row>
        <row r="10">
          <cell r="A10">
            <v>6011</v>
          </cell>
          <cell r="B10" t="str">
            <v>Nelson Marlborough Institute of Technology</v>
          </cell>
          <cell r="C10">
            <v>0</v>
          </cell>
          <cell r="D10">
            <v>0</v>
          </cell>
          <cell r="E10">
            <v>0</v>
          </cell>
          <cell r="F10">
            <v>0</v>
          </cell>
          <cell r="H10">
            <v>0</v>
          </cell>
          <cell r="I10">
            <v>0</v>
          </cell>
          <cell r="J10" t="str">
            <v>Not applicable</v>
          </cell>
          <cell r="K10" t="str">
            <v>Not applicable</v>
          </cell>
          <cell r="L10" t="str">
            <v>Not applicable</v>
          </cell>
        </row>
        <row r="11">
          <cell r="A11">
            <v>6012</v>
          </cell>
          <cell r="B11" t="str">
            <v>Northland Polytechnic</v>
          </cell>
          <cell r="C11">
            <v>27000</v>
          </cell>
          <cell r="D11">
            <v>17099</v>
          </cell>
          <cell r="E11">
            <v>28062.39</v>
          </cell>
          <cell r="F11">
            <v>105032.46</v>
          </cell>
          <cell r="G11">
            <v>24000</v>
          </cell>
          <cell r="H11">
            <v>0</v>
          </cell>
          <cell r="I11">
            <v>0</v>
          </cell>
          <cell r="J11">
            <v>8505</v>
          </cell>
          <cell r="K11">
            <v>5000</v>
          </cell>
          <cell r="L11" t="str">
            <v>Not applicable</v>
          </cell>
        </row>
        <row r="12">
          <cell r="A12">
            <v>6013</v>
          </cell>
          <cell r="B12" t="str">
            <v>Otago Polytechnic</v>
          </cell>
          <cell r="C12">
            <v>242034</v>
          </cell>
          <cell r="D12">
            <v>252366</v>
          </cell>
          <cell r="E12">
            <v>101195.24</v>
          </cell>
          <cell r="F12">
            <v>146416</v>
          </cell>
          <cell r="G12">
            <v>727370</v>
          </cell>
          <cell r="H12">
            <v>1112234</v>
          </cell>
          <cell r="I12">
            <v>1129559</v>
          </cell>
          <cell r="J12">
            <v>1079582</v>
          </cell>
          <cell r="K12">
            <v>1245926</v>
          </cell>
          <cell r="L12">
            <v>1052726</v>
          </cell>
        </row>
        <row r="13">
          <cell r="A13">
            <v>6014</v>
          </cell>
          <cell r="B13" t="str">
            <v>Whitireia Community Polytechnic</v>
          </cell>
          <cell r="C13">
            <v>48829</v>
          </cell>
          <cell r="D13">
            <v>100444</v>
          </cell>
          <cell r="E13">
            <v>201799</v>
          </cell>
          <cell r="F13">
            <v>70248.88</v>
          </cell>
          <cell r="G13">
            <v>27301.45</v>
          </cell>
          <cell r="H13">
            <v>271081.62</v>
          </cell>
          <cell r="I13">
            <v>229416</v>
          </cell>
          <cell r="J13">
            <v>175003</v>
          </cell>
          <cell r="K13">
            <v>59261</v>
          </cell>
          <cell r="L13">
            <v>80578</v>
          </cell>
        </row>
        <row r="14">
          <cell r="A14">
            <v>6019</v>
          </cell>
          <cell r="B14" t="str">
            <v>Waikato Institute of Technology</v>
          </cell>
          <cell r="C14">
            <v>585279</v>
          </cell>
          <cell r="D14">
            <v>503568</v>
          </cell>
          <cell r="E14">
            <v>278074</v>
          </cell>
          <cell r="F14">
            <v>194061</v>
          </cell>
          <cell r="G14">
            <v>194061</v>
          </cell>
          <cell r="H14">
            <v>11500</v>
          </cell>
          <cell r="I14">
            <v>87000</v>
          </cell>
          <cell r="J14">
            <v>232672</v>
          </cell>
          <cell r="K14">
            <v>198103</v>
          </cell>
          <cell r="L14">
            <v>70083</v>
          </cell>
        </row>
        <row r="15">
          <cell r="A15">
            <v>6022</v>
          </cell>
          <cell r="B15" t="str">
            <v>Open Polytechnic of New Zealand</v>
          </cell>
          <cell r="C15">
            <v>699653</v>
          </cell>
          <cell r="D15">
            <v>770174</v>
          </cell>
          <cell r="E15">
            <v>45778</v>
          </cell>
          <cell r="F15">
            <v>89795</v>
          </cell>
          <cell r="H15">
            <v>87503.9</v>
          </cell>
          <cell r="I15">
            <v>137919.70000000001</v>
          </cell>
          <cell r="J15">
            <v>47028.51</v>
          </cell>
          <cell r="K15">
            <v>2769.91</v>
          </cell>
          <cell r="L15">
            <v>21105</v>
          </cell>
        </row>
        <row r="16">
          <cell r="A16">
            <v>7001</v>
          </cell>
          <cell r="B16" t="str">
            <v>University of Auckland</v>
          </cell>
          <cell r="C16">
            <v>106147979</v>
          </cell>
          <cell r="D16">
            <v>113859434</v>
          </cell>
          <cell r="E16">
            <v>116683274</v>
          </cell>
          <cell r="F16">
            <v>138540191</v>
          </cell>
          <cell r="G16">
            <v>149595526</v>
          </cell>
          <cell r="H16">
            <v>149747687</v>
          </cell>
          <cell r="I16">
            <v>143852139</v>
          </cell>
          <cell r="J16">
            <v>140499361</v>
          </cell>
          <cell r="K16">
            <v>134679109</v>
          </cell>
          <cell r="L16">
            <v>140022090</v>
          </cell>
        </row>
        <row r="17">
          <cell r="A17">
            <v>7002</v>
          </cell>
          <cell r="B17" t="str">
            <v>University of Waikato</v>
          </cell>
          <cell r="C17">
            <v>15592836</v>
          </cell>
          <cell r="D17">
            <v>15236406</v>
          </cell>
          <cell r="E17">
            <v>16341904</v>
          </cell>
          <cell r="F17">
            <v>16848972</v>
          </cell>
          <cell r="G17">
            <v>20608092</v>
          </cell>
          <cell r="H17">
            <v>18589606</v>
          </cell>
          <cell r="I17">
            <v>20642355</v>
          </cell>
          <cell r="J17">
            <v>19922151</v>
          </cell>
          <cell r="K17">
            <v>20109163</v>
          </cell>
          <cell r="L17">
            <v>17528731</v>
          </cell>
        </row>
        <row r="18">
          <cell r="A18">
            <v>7003</v>
          </cell>
          <cell r="B18" t="str">
            <v>Massey University</v>
          </cell>
          <cell r="C18">
            <v>36392947</v>
          </cell>
          <cell r="D18">
            <v>38039685</v>
          </cell>
          <cell r="E18">
            <v>41427653.159999996</v>
          </cell>
          <cell r="F18">
            <v>44706446</v>
          </cell>
          <cell r="G18">
            <v>53244095.32</v>
          </cell>
          <cell r="H18">
            <v>55911764.149999999</v>
          </cell>
          <cell r="I18">
            <v>54087511.200000003</v>
          </cell>
          <cell r="J18">
            <v>55271264.409999996</v>
          </cell>
          <cell r="K18">
            <v>57559072.689999998</v>
          </cell>
          <cell r="L18">
            <v>55057467.606099926</v>
          </cell>
        </row>
        <row r="19">
          <cell r="A19">
            <v>7004</v>
          </cell>
          <cell r="B19" t="str">
            <v>Victoria University of Wellington</v>
          </cell>
          <cell r="C19">
            <v>18406557</v>
          </cell>
          <cell r="D19">
            <v>23262412</v>
          </cell>
          <cell r="E19">
            <v>24029305</v>
          </cell>
          <cell r="F19">
            <v>29317878</v>
          </cell>
          <cell r="G19">
            <v>32595392</v>
          </cell>
          <cell r="H19">
            <v>32038397</v>
          </cell>
          <cell r="I19">
            <v>34451981</v>
          </cell>
          <cell r="J19">
            <v>39467756</v>
          </cell>
          <cell r="K19">
            <v>32124666</v>
          </cell>
          <cell r="L19">
            <v>42526276</v>
          </cell>
        </row>
        <row r="20">
          <cell r="A20">
            <v>7005</v>
          </cell>
          <cell r="B20" t="str">
            <v>University of Canterbury</v>
          </cell>
          <cell r="C20">
            <v>17407993</v>
          </cell>
          <cell r="D20">
            <v>20411518</v>
          </cell>
          <cell r="E20">
            <v>22670439</v>
          </cell>
          <cell r="F20">
            <v>25936887</v>
          </cell>
          <cell r="G20">
            <v>36746477</v>
          </cell>
          <cell r="H20">
            <v>25582559</v>
          </cell>
          <cell r="I20">
            <v>27552720</v>
          </cell>
          <cell r="J20">
            <v>27694632</v>
          </cell>
          <cell r="K20">
            <v>28001515</v>
          </cell>
          <cell r="L20">
            <v>28166924.670000002</v>
          </cell>
        </row>
        <row r="21">
          <cell r="A21">
            <v>6505</v>
          </cell>
          <cell r="B21" t="str">
            <v>Christchurch College of Education</v>
          </cell>
          <cell r="C21">
            <v>0</v>
          </cell>
          <cell r="D21">
            <v>0</v>
          </cell>
          <cell r="E21">
            <v>0</v>
          </cell>
          <cell r="F21">
            <v>0</v>
          </cell>
          <cell r="H21">
            <v>0</v>
          </cell>
          <cell r="I21">
            <v>0</v>
          </cell>
          <cell r="J21" t="str">
            <v>Not applicable</v>
          </cell>
          <cell r="K21" t="str">
            <v>Not applicable</v>
          </cell>
          <cell r="L21" t="str">
            <v>Not applicable</v>
          </cell>
        </row>
        <row r="22">
          <cell r="A22">
            <v>7006</v>
          </cell>
          <cell r="B22" t="str">
            <v>Lincoln University</v>
          </cell>
          <cell r="C22">
            <v>16354761</v>
          </cell>
          <cell r="D22">
            <v>16317474</v>
          </cell>
          <cell r="E22">
            <v>18691168</v>
          </cell>
          <cell r="F22">
            <v>20538537</v>
          </cell>
          <cell r="G22">
            <v>20937208</v>
          </cell>
          <cell r="H22">
            <v>22785129</v>
          </cell>
          <cell r="I22">
            <v>25441610</v>
          </cell>
          <cell r="J22">
            <v>25596211</v>
          </cell>
          <cell r="K22">
            <v>26707588</v>
          </cell>
          <cell r="L22">
            <v>26655853</v>
          </cell>
        </row>
        <row r="23">
          <cell r="A23">
            <v>7007</v>
          </cell>
          <cell r="B23" t="str">
            <v>University of Otago</v>
          </cell>
          <cell r="C23">
            <v>67404653</v>
          </cell>
          <cell r="D23">
            <v>67152313</v>
          </cell>
          <cell r="E23">
            <v>72047118</v>
          </cell>
          <cell r="F23">
            <v>87154298</v>
          </cell>
          <cell r="G23">
            <v>87018665</v>
          </cell>
          <cell r="H23">
            <v>90064602</v>
          </cell>
          <cell r="I23">
            <v>91628400</v>
          </cell>
          <cell r="J23">
            <v>89283482</v>
          </cell>
          <cell r="K23">
            <v>86422633</v>
          </cell>
          <cell r="L23">
            <v>88462740</v>
          </cell>
        </row>
        <row r="24">
          <cell r="A24">
            <v>6506</v>
          </cell>
          <cell r="B24" t="str">
            <v>Dunedin College of Education</v>
          </cell>
          <cell r="C24">
            <v>77595</v>
          </cell>
          <cell r="D24">
            <v>0</v>
          </cell>
          <cell r="E24">
            <v>0</v>
          </cell>
          <cell r="F24">
            <v>0</v>
          </cell>
          <cell r="H24">
            <v>0</v>
          </cell>
          <cell r="I24">
            <v>0</v>
          </cell>
          <cell r="J24" t="str">
            <v>Not applicable</v>
          </cell>
          <cell r="K24" t="str">
            <v>Not applicable</v>
          </cell>
          <cell r="L24" t="str">
            <v>Not applicable</v>
          </cell>
        </row>
        <row r="25">
          <cell r="A25">
            <v>7008</v>
          </cell>
          <cell r="B25" t="str">
            <v>Auckland University of Technology</v>
          </cell>
          <cell r="C25">
            <v>4824164</v>
          </cell>
          <cell r="D25">
            <v>6921828</v>
          </cell>
          <cell r="E25">
            <v>6728068</v>
          </cell>
          <cell r="F25">
            <v>6500276</v>
          </cell>
          <cell r="G25">
            <v>7795524</v>
          </cell>
          <cell r="H25">
            <v>5623292</v>
          </cell>
          <cell r="I25">
            <v>9528866</v>
          </cell>
          <cell r="J25">
            <v>9211469</v>
          </cell>
          <cell r="K25">
            <v>8540969</v>
          </cell>
          <cell r="L25">
            <v>9143890</v>
          </cell>
        </row>
        <row r="26">
          <cell r="A26">
            <v>8396</v>
          </cell>
          <cell r="B26" t="str">
            <v>New Zealand College of Chiropractic</v>
          </cell>
          <cell r="G26">
            <v>9647.14</v>
          </cell>
          <cell r="H26">
            <v>41345.4</v>
          </cell>
          <cell r="I26">
            <v>110967.3</v>
          </cell>
          <cell r="J26">
            <v>53142.01</v>
          </cell>
          <cell r="K26">
            <v>85403.67</v>
          </cell>
          <cell r="L26">
            <v>193666.82</v>
          </cell>
        </row>
        <row r="27">
          <cell r="A27">
            <v>8509</v>
          </cell>
          <cell r="B27" t="str">
            <v>Whitecliff College of Arts and Design</v>
          </cell>
          <cell r="C27">
            <v>0</v>
          </cell>
          <cell r="D27">
            <v>0</v>
          </cell>
          <cell r="E27">
            <v>0</v>
          </cell>
          <cell r="F27">
            <v>0</v>
          </cell>
          <cell r="H27">
            <v>0</v>
          </cell>
          <cell r="I27">
            <v>0</v>
          </cell>
          <cell r="J27" t="str">
            <v>Not applicable</v>
          </cell>
          <cell r="K27" t="str">
            <v>Not applicable</v>
          </cell>
          <cell r="L27" t="str">
            <v>Not applicable</v>
          </cell>
        </row>
        <row r="28">
          <cell r="A28">
            <v>8530</v>
          </cell>
          <cell r="B28" t="str">
            <v>AIS St Helens</v>
          </cell>
          <cell r="C28">
            <v>0</v>
          </cell>
          <cell r="D28">
            <v>0</v>
          </cell>
          <cell r="E28">
            <v>0</v>
          </cell>
          <cell r="F28">
            <v>0</v>
          </cell>
          <cell r="H28">
            <v>0</v>
          </cell>
          <cell r="I28">
            <v>0</v>
          </cell>
          <cell r="J28" t="str">
            <v>Not applicable</v>
          </cell>
          <cell r="K28" t="str">
            <v>Not applicable</v>
          </cell>
          <cell r="L28" t="str">
            <v>Not applicable</v>
          </cell>
        </row>
        <row r="29">
          <cell r="A29">
            <v>8563</v>
          </cell>
          <cell r="B29" t="str">
            <v>Laidlaw College</v>
          </cell>
          <cell r="C29">
            <v>22000</v>
          </cell>
          <cell r="D29">
            <v>1466</v>
          </cell>
          <cell r="E29">
            <v>0</v>
          </cell>
          <cell r="F29">
            <v>0</v>
          </cell>
          <cell r="H29">
            <v>0</v>
          </cell>
          <cell r="I29">
            <v>0</v>
          </cell>
          <cell r="J29">
            <v>41951.74</v>
          </cell>
          <cell r="K29">
            <v>23136</v>
          </cell>
          <cell r="L29" t="str">
            <v>Not applicable</v>
          </cell>
        </row>
        <row r="30">
          <cell r="A30">
            <v>8619</v>
          </cell>
          <cell r="B30" t="str">
            <v>New Zealand Tertiary College</v>
          </cell>
          <cell r="J30">
            <v>8802</v>
          </cell>
          <cell r="K30">
            <v>35105</v>
          </cell>
          <cell r="L30">
            <v>24612</v>
          </cell>
        </row>
        <row r="31">
          <cell r="A31">
            <v>8630</v>
          </cell>
          <cell r="B31" t="str">
            <v>Te Wananga O Aotearoa</v>
          </cell>
          <cell r="C31">
            <v>88834</v>
          </cell>
          <cell r="D31">
            <v>0</v>
          </cell>
          <cell r="E31">
            <v>0</v>
          </cell>
          <cell r="F31">
            <v>0</v>
          </cell>
          <cell r="G31">
            <v>0</v>
          </cell>
          <cell r="H31">
            <v>0</v>
          </cell>
          <cell r="I31">
            <v>0</v>
          </cell>
          <cell r="J31" t="str">
            <v>Not applicable as not participating in PBRF</v>
          </cell>
          <cell r="K31" t="str">
            <v>Not applicable</v>
          </cell>
          <cell r="L31" t="str">
            <v>Not applicable</v>
          </cell>
        </row>
        <row r="32">
          <cell r="A32">
            <v>8694</v>
          </cell>
          <cell r="B32" t="str">
            <v>Bethlehem Institute of Education</v>
          </cell>
          <cell r="C32">
            <v>60000</v>
          </cell>
          <cell r="D32">
            <v>60000</v>
          </cell>
          <cell r="E32">
            <v>60000</v>
          </cell>
          <cell r="F32">
            <v>70100</v>
          </cell>
          <cell r="G32">
            <v>70400</v>
          </cell>
          <cell r="H32">
            <v>99379</v>
          </cell>
          <cell r="I32">
            <v>150067</v>
          </cell>
          <cell r="J32">
            <v>72539</v>
          </cell>
          <cell r="K32">
            <v>33250</v>
          </cell>
          <cell r="L32">
            <v>110000</v>
          </cell>
        </row>
        <row r="33">
          <cell r="A33">
            <v>8717</v>
          </cell>
          <cell r="B33" t="str">
            <v>Good Shepherd College</v>
          </cell>
          <cell r="C33">
            <v>0</v>
          </cell>
          <cell r="D33">
            <v>0</v>
          </cell>
          <cell r="E33">
            <v>0</v>
          </cell>
          <cell r="F33">
            <v>0</v>
          </cell>
          <cell r="G33">
            <v>0</v>
          </cell>
          <cell r="H33">
            <v>0</v>
          </cell>
          <cell r="I33">
            <v>0</v>
          </cell>
          <cell r="J33" t="str">
            <v>Not applicable</v>
          </cell>
          <cell r="K33" t="str">
            <v>Not applicable</v>
          </cell>
          <cell r="L33" t="str">
            <v>Not applicable</v>
          </cell>
        </row>
        <row r="34">
          <cell r="A34">
            <v>8979</v>
          </cell>
          <cell r="B34" t="str">
            <v>Carey Baptist College</v>
          </cell>
          <cell r="C34">
            <v>0</v>
          </cell>
          <cell r="D34">
            <v>0</v>
          </cell>
          <cell r="E34">
            <v>6602</v>
          </cell>
          <cell r="F34">
            <v>0</v>
          </cell>
          <cell r="H34">
            <v>0</v>
          </cell>
          <cell r="I34">
            <v>0</v>
          </cell>
          <cell r="J34" t="str">
            <v>Not applicable</v>
          </cell>
          <cell r="K34" t="str">
            <v>Not applicable</v>
          </cell>
          <cell r="L34" t="str">
            <v>Not applicable</v>
          </cell>
        </row>
        <row r="35">
          <cell r="A35">
            <v>9242</v>
          </cell>
          <cell r="B35" t="str">
            <v>Anamata</v>
          </cell>
          <cell r="C35">
            <v>437363</v>
          </cell>
          <cell r="D35">
            <v>188326</v>
          </cell>
          <cell r="E35">
            <v>0</v>
          </cell>
          <cell r="F35">
            <v>0</v>
          </cell>
          <cell r="H35">
            <v>0</v>
          </cell>
          <cell r="I35">
            <v>9894.67</v>
          </cell>
          <cell r="J35" t="str">
            <v>Not applicable</v>
          </cell>
          <cell r="K35" t="str">
            <v>Not applicable</v>
          </cell>
          <cell r="L35" t="str">
            <v>Not applicable</v>
          </cell>
        </row>
        <row r="36">
          <cell r="A36">
            <v>9386</v>
          </cell>
          <cell r="B36" t="str">
            <v>Te Whare Wananga O Awanuiarangi</v>
          </cell>
          <cell r="C36">
            <v>88333</v>
          </cell>
          <cell r="D36">
            <v>544085</v>
          </cell>
          <cell r="E36">
            <v>0</v>
          </cell>
          <cell r="F36">
            <v>164779</v>
          </cell>
          <cell r="G36">
            <v>477510</v>
          </cell>
          <cell r="H36">
            <v>846732</v>
          </cell>
          <cell r="I36">
            <v>1001457</v>
          </cell>
          <cell r="J36">
            <v>783390</v>
          </cell>
          <cell r="K36">
            <v>272493</v>
          </cell>
          <cell r="L36">
            <v>37592.74</v>
          </cell>
        </row>
        <row r="38">
          <cell r="B38" t="str">
            <v>Total</v>
          </cell>
          <cell r="C38">
            <v>285438526</v>
          </cell>
          <cell r="D38">
            <v>303895081</v>
          </cell>
          <cell r="E38">
            <v>321864222.78999996</v>
          </cell>
          <cell r="F38">
            <v>372117409.34000003</v>
          </cell>
          <cell r="G38">
            <v>410847890.75999999</v>
          </cell>
          <cell r="H38">
            <v>403433520.39999998</v>
          </cell>
          <cell r="I38">
            <v>411181376.64000005</v>
          </cell>
          <cell r="J38">
            <v>410693239.78999996</v>
          </cell>
          <cell r="K38">
            <v>396857129.31999999</v>
          </cell>
          <cell r="L38">
            <v>409861975.59609991</v>
          </cell>
        </row>
        <row r="41">
          <cell r="J41" t="str">
            <v>Pre VUW revision</v>
          </cell>
          <cell r="K41">
            <v>396277518.32000005</v>
          </cell>
        </row>
      </sheetData>
      <sheetData sheetId="1" refreshError="1"/>
    </sheetDataSet>
  </externalBook>
</externalLink>
</file>

<file path=xl/tables/table1.xml><?xml version="1.0" encoding="utf-8"?>
<table xmlns="http://schemas.openxmlformats.org/spreadsheetml/2006/main" id="1" name="Table2" displayName="Table2" ref="A4:F32" totalsRowShown="0" headerRowDxfId="125" dataDxfId="124">
  <autoFilter ref="A4:F32"/>
  <sortState ref="A4:F34">
    <sortCondition descending="1" ref="E3:E34"/>
  </sortState>
  <tableColumns count="6">
    <tableColumn id="2" name="TEOs" dataDxfId="123"/>
    <tableColumn id="3" name="Quality _x000a_Evaluation" dataDxfId="122"/>
    <tableColumn id="4" name="External Research Income" dataDxfId="121"/>
    <tableColumn id="5" name="Research Degree Completion" dataDxfId="120"/>
    <tableColumn id="6" name="Total Funding" dataDxfId="119"/>
    <tableColumn id="1" name="Edumis" dataDxfId="118"/>
  </tableColumns>
  <tableStyleInfo name="TableStyleMedium9" showFirstColumn="0" showLastColumn="0" showRowStripes="1" showColumnStripes="0"/>
</table>
</file>

<file path=xl/tables/table10.xml><?xml version="1.0" encoding="utf-8"?>
<table xmlns="http://schemas.openxmlformats.org/spreadsheetml/2006/main" id="12" name="Table23578913" displayName="Table23578913" ref="A4:E32" totalsRowShown="0" headerRowDxfId="49" dataDxfId="48">
  <autoFilter ref="A4:E32"/>
  <sortState ref="A4:F34">
    <sortCondition descending="1" ref="C3:C34"/>
  </sortState>
  <tableColumns count="5">
    <tableColumn id="2" name="TEOs" dataDxfId="47"/>
    <tableColumn id="3" name="ERI Final_x000a_2014" dataDxfId="46"/>
    <tableColumn id="4" name="ERI Final_x000a_2015" dataDxfId="45"/>
    <tableColumn id="6" name="Change($)" dataDxfId="44"/>
    <tableColumn id="5" name="Change(%)" dataDxfId="43"/>
  </tableColumns>
  <tableStyleInfo name="TableStyleMedium9" showFirstColumn="0" showLastColumn="0" showRowStripes="1" showColumnStripes="0"/>
</table>
</file>

<file path=xl/tables/table11.xml><?xml version="1.0" encoding="utf-8"?>
<table xmlns="http://schemas.openxmlformats.org/spreadsheetml/2006/main" id="14" name="Table235789131415" displayName="Table235789131415" ref="A4:H32" totalsRowShown="0" headerRowDxfId="42" dataDxfId="41">
  <autoFilter ref="A4:H32"/>
  <sortState ref="A4:I31">
    <sortCondition descending="1" ref="C3:C31"/>
  </sortState>
  <tableColumns count="8">
    <tableColumn id="2" name="TEOs" dataDxfId="40"/>
    <tableColumn id="7" name="2015_x000a_Ratio" dataDxfId="39" dataCellStyle="Percent"/>
    <tableColumn id="4" name=" 2015 Final_x000a_ Funding" dataDxfId="38"/>
    <tableColumn id="8" name="2016_x000a_Ratio" dataDxfId="37" dataCellStyle="Percent"/>
    <tableColumn id="9" name=" 2016 Indicative_x000a_ Funding" dataDxfId="36"/>
    <tableColumn id="10" name="Ratio_x000a_ Difference" dataDxfId="35" dataCellStyle="Percent"/>
    <tableColumn id="6" name="Change($)" dataDxfId="34"/>
    <tableColumn id="5" name="Change(%)" dataDxfId="33"/>
  </tableColumns>
  <tableStyleInfo name="TableStyleMedium9" showFirstColumn="0" showLastColumn="0" showRowStripes="1" showColumnStripes="0"/>
</table>
</file>

<file path=xl/tables/table12.xml><?xml version="1.0" encoding="utf-8"?>
<table xmlns="http://schemas.openxmlformats.org/spreadsheetml/2006/main" id="15" name="Table23578916" displayName="Table23578916" ref="A4:E32" totalsRowShown="0" headerRowDxfId="32" dataDxfId="31">
  <autoFilter ref="A4:E32"/>
  <sortState ref="A4:F31">
    <sortCondition descending="1" ref="C3:C31"/>
  </sortState>
  <tableColumns count="5">
    <tableColumn id="2" name="TEOs" dataDxfId="30"/>
    <tableColumn id="3" name="RDC Final _x000a_2014" dataDxfId="29"/>
    <tableColumn id="4" name="RDC Final _x000a_2015" dataDxfId="28"/>
    <tableColumn id="6" name="Change($)" dataDxfId="27"/>
    <tableColumn id="5" name="Change(%)" dataDxfId="26"/>
  </tableColumns>
  <tableStyleInfo name="TableStyleMedium9" showFirstColumn="0" showLastColumn="0" showRowStripes="1" showColumnStripes="0"/>
</table>
</file>

<file path=xl/tables/table13.xml><?xml version="1.0" encoding="utf-8"?>
<table xmlns="http://schemas.openxmlformats.org/spreadsheetml/2006/main" id="17" name="Table2357891618" displayName="Table2357891618" ref="A4:F32" totalsRowShown="0" headerRowDxfId="25" dataDxfId="24">
  <autoFilter ref="A4:F32"/>
  <sortState ref="A4:F31">
    <sortCondition descending="1" ref="C3:C31"/>
  </sortState>
  <tableColumns count="6">
    <tableColumn id="2" name="TEOs" dataDxfId="23"/>
    <tableColumn id="3" name="RDC 2015 Indicative" dataDxfId="22"/>
    <tableColumn id="4" name="RDC 2015_x000a_ Final" dataDxfId="21"/>
    <tableColumn id="6" name="Change($)" dataDxfId="20"/>
    <tableColumn id="5" name="Change(%)" dataDxfId="19"/>
    <tableColumn id="1" name="Edumis" dataDxfId="18">
      <calculatedColumnFormula>VLOOKUP(Table2357891618[[#This Row],[TEOs]],'1.1'!$A:$F,6,FALSE)</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8" name="Table23578913141519" displayName="Table23578913141519" ref="A4:H20" totalsRowShown="0" headerRowDxfId="17" dataDxfId="16">
  <autoFilter ref="A4:H20"/>
  <sortState ref="A4:I31">
    <sortCondition descending="1" ref="C3:C31"/>
  </sortState>
  <tableColumns count="8">
    <tableColumn id="2" name="TEOs" dataDxfId="15" totalsRowDxfId="14"/>
    <tableColumn id="7" name="2015_x000a_Ratio" dataDxfId="13" totalsRowDxfId="12" dataCellStyle="Percent">
      <calculatedColumnFormula>Table23578913141519[[#This Row],[ 2015 Final
 Funding]]/$C$20</calculatedColumnFormula>
    </tableColumn>
    <tableColumn id="4" name=" 2015 Final_x000a_ Funding" dataDxfId="11" totalsRowDxfId="10"/>
    <tableColumn id="8" name="2016 _x000a_Ratio" dataDxfId="9" totalsRowDxfId="8" dataCellStyle="Percent">
      <calculatedColumnFormula>Table23578913141519[[#This Row],[ 2016 Indicative
 Funding]]/$E$20</calculatedColumnFormula>
    </tableColumn>
    <tableColumn id="9" name=" 2016 Indicative_x000a_ Funding" dataDxfId="7" totalsRowDxfId="6">
      <calculatedColumnFormula>VLOOKUP(#REF!,'1.4'!$A:$C,4,FALSE)</calculatedColumnFormula>
    </tableColumn>
    <tableColumn id="10" name="Ratio_x000a_ Difference" dataDxfId="5" totalsRowDxfId="4" dataCellStyle="Percent">
      <calculatedColumnFormula>Table23578913141519[[#This Row],[2016 
Ratio]]-Table23578913141519[[#This Row],[2015
Ratio]]</calculatedColumnFormula>
    </tableColumn>
    <tableColumn id="6" name="Change($)" dataDxfId="3" totalsRowDxfId="2">
      <calculatedColumnFormula>Table23578913141519[[#This Row],[ 2016 Indicative
 Funding]]-Table23578913141519[[#This Row],[ 2015 Final
 Funding]]</calculatedColumnFormula>
    </tableColumn>
    <tableColumn id="5" name="Change(%)" dataDxfId="1" totalsRowDxfId="0">
      <calculatedColumnFormula>IFERROR(Table23578913141519[[#This Row],[Change($)]]/Table23578913141519[[#This Row],[ 2015 Final
 Funding]],"")</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e23" displayName="Table23" ref="A4:D32" totalsRowShown="0" headerRowDxfId="117" dataDxfId="116">
  <autoFilter ref="A4:D32"/>
  <sortState ref="A5:D32">
    <sortCondition descending="1" ref="C4:C32"/>
  </sortState>
  <tableColumns count="4">
    <tableColumn id="2" name="TEOs" dataDxfId="115"/>
    <tableColumn id="3" name="Total Funding _x000a_2014" dataDxfId="114"/>
    <tableColumn id="4" name="Total Funding_x000a_ 2015" dataDxfId="113"/>
    <tableColumn id="5" name="Change ($)" dataDxfId="112"/>
  </tableColumns>
  <tableStyleInfo name="TableStyleMedium9" showFirstColumn="0" showLastColumn="0" showRowStripes="1" showColumnStripes="0"/>
</table>
</file>

<file path=xl/tables/table3.xml><?xml version="1.0" encoding="utf-8"?>
<table xmlns="http://schemas.openxmlformats.org/spreadsheetml/2006/main" id="4" name="Table235" displayName="Table235" ref="A4:F32" totalsRowShown="0" headerRowDxfId="111" dataDxfId="110">
  <autoFilter ref="A4:F32"/>
  <sortState ref="A5:E32">
    <sortCondition descending="1" ref="C3:C31"/>
  </sortState>
  <tableColumns count="6">
    <tableColumn id="2" name="TEOs" dataDxfId="109"/>
    <tableColumn id="3" name="Total Indicative Funding" dataDxfId="108"/>
    <tableColumn id="4" name="Total Final Funding" dataDxfId="107"/>
    <tableColumn id="6" name="Change($)" dataDxfId="106"/>
    <tableColumn id="5" name="Change(%)" dataDxfId="105"/>
    <tableColumn id="1" name="Edumis" dataDxfId="104">
      <calculatedColumnFormula>VLOOKUP(Table235[[#This Row],[TEOs]],'1.1'!$A:$F,6,FALSE)</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5" name="Table26" displayName="Table26" ref="A4:F32" totalsRowShown="0" headerRowDxfId="103" dataDxfId="102">
  <autoFilter ref="A4:F32"/>
  <sortState ref="A4:F31">
    <sortCondition descending="1" ref="E3:E31"/>
  </sortState>
  <tableColumns count="6">
    <tableColumn id="2" name="TEOs" dataDxfId="101"/>
    <tableColumn id="3" name="Quality _x000a_Evaluation" dataDxfId="100"/>
    <tableColumn id="4" name="External Research Income" dataDxfId="99"/>
    <tableColumn id="5" name="Research Degree Completion" dataDxfId="98"/>
    <tableColumn id="6" name="Total Funding" dataDxfId="97"/>
    <tableColumn id="1" name="Edumis" dataDxfId="96">
      <calculatedColumnFormula>VLOOKUP(Table26[[#This Row],[TEOs]],'1.1'!$A:$F,6,FALSE)</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6" name="Table2357" displayName="Table2357" ref="A4:E32" totalsRowShown="0" headerRowDxfId="95" dataDxfId="94">
  <autoFilter ref="A4:E32"/>
  <sortState ref="A4:F31">
    <sortCondition descending="1" ref="B3:B31"/>
  </sortState>
  <tableColumns count="5">
    <tableColumn id="2" name="TEOs" dataDxfId="93"/>
    <tableColumn id="3" name="2015 Final Funding" dataDxfId="92"/>
    <tableColumn id="4" name="2016 Indicative Funding" dataDxfId="91"/>
    <tableColumn id="6" name="Change($)" dataDxfId="90"/>
    <tableColumn id="5" name="Change(%)" dataDxfId="89"/>
  </tableColumns>
  <tableStyleInfo name="TableStyleMedium9" showFirstColumn="0" showLastColumn="0" showRowStripes="1" showColumnStripes="0"/>
</table>
</file>

<file path=xl/tables/table6.xml><?xml version="1.0" encoding="utf-8"?>
<table xmlns="http://schemas.openxmlformats.org/spreadsheetml/2006/main" id="7" name="Table23578" displayName="Table23578" ref="A4:E32" totalsRowShown="0" headerRowDxfId="88" dataDxfId="87">
  <autoFilter ref="A4:E32"/>
  <sortState ref="A5:F35">
    <sortCondition descending="1" ref="C4:C35"/>
  </sortState>
  <tableColumns count="5">
    <tableColumn id="2" name="TEOs" dataDxfId="86"/>
    <tableColumn id="3" name="QE Final _x000a_2014" dataDxfId="85"/>
    <tableColumn id="4" name="QE Final _x000a_2015" dataDxfId="84"/>
    <tableColumn id="6" name="Change($)" dataDxfId="83"/>
    <tableColumn id="5" name="Change(%)" dataDxfId="82"/>
  </tableColumns>
  <tableStyleInfo name="TableStyleMedium9" showFirstColumn="0" showLastColumn="0" showRowStripes="1" showColumnStripes="0"/>
</table>
</file>

<file path=xl/tables/table7.xml><?xml version="1.0" encoding="utf-8"?>
<table xmlns="http://schemas.openxmlformats.org/spreadsheetml/2006/main" id="9" name="Table23578910" displayName="Table23578910" ref="A4:E32" totalsRowShown="0" headerRowDxfId="81" dataDxfId="80">
  <autoFilter ref="A4:E32"/>
  <sortState ref="A4:G31">
    <sortCondition descending="1" ref="C3:C31"/>
  </sortState>
  <tableColumns count="5">
    <tableColumn id="2" name="TEOs" dataDxfId="79"/>
    <tableColumn id="8" name="Ratio" dataDxfId="78"/>
    <tableColumn id="4" name="Final QE _x000a_funding 2015" dataDxfId="77"/>
    <tableColumn id="3" name="Indicative QE funding 2016" dataDxfId="76"/>
    <tableColumn id="6" name="Change($)" dataDxfId="75"/>
  </tableColumns>
  <tableStyleInfo name="TableStyleMedium9" showFirstColumn="0" showLastColumn="0" showRowStripes="1" showColumnStripes="0"/>
</table>
</file>

<file path=xl/tables/table8.xml><?xml version="1.0" encoding="utf-8"?>
<table xmlns="http://schemas.openxmlformats.org/spreadsheetml/2006/main" id="10" name="Table2311" displayName="Table2311" ref="A4:G28" totalsRowShown="0" headerRowDxfId="74" dataDxfId="73">
  <autoFilter ref="A4:G28"/>
  <tableColumns count="7">
    <tableColumn id="2" name="TEOs" dataDxfId="72"/>
    <tableColumn id="6" name="2011" dataDxfId="71"/>
    <tableColumn id="7" name="Change 2011 → 2012" dataDxfId="70"/>
    <tableColumn id="8" name="2012" dataDxfId="69"/>
    <tableColumn id="3" name="Change 2012 → 2013" dataDxfId="68"/>
    <tableColumn id="4" name="2013" dataDxfId="67"/>
    <tableColumn id="1" name="Edumis" dataDxfId="66">
      <calculatedColumnFormula>VLOOKUP(Table2311[[#This Row],[TEOs]],'1.1'!$A:$F,6,FALSE)</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11" name="Table231112" displayName="Table231112" ref="A4:G28" totalsRowShown="0" headerRowDxfId="65" dataDxfId="64">
  <autoFilter ref="A4:G28"/>
  <tableColumns count="7">
    <tableColumn id="2" name="TEOs" dataDxfId="63" totalsRowDxfId="62"/>
    <tableColumn id="6" name="2012" dataDxfId="61" totalsRowDxfId="60"/>
    <tableColumn id="7" name="Change 2012 → 2013" dataDxfId="59" totalsRowDxfId="58">
      <calculatedColumnFormula>(Table231112[[#This Row],[2013]]-Table231112[[#This Row],[2012]])/Table231112[[#This Row],[2012]]</calculatedColumnFormula>
    </tableColumn>
    <tableColumn id="8" name="2013" dataDxfId="57" totalsRowDxfId="56"/>
    <tableColumn id="3" name="Change 2013 → 2014" dataDxfId="55" totalsRowDxfId="54">
      <calculatedColumnFormula>(Table231112[[#This Row],[2014]]-Table231112[[#This Row],[2013]])/Table231112[[#This Row],[2013]]</calculatedColumnFormula>
    </tableColumn>
    <tableColumn id="4" name="2014" dataDxfId="53" totalsRowDxfId="52"/>
    <tableColumn id="1" name="Edumis" dataDxfId="51" totalsRowDxfId="50">
      <calculatedColumnFormula>VLOOKUP(Table231112[[#This Row],[TEOs]],'1.1'!$A:$F,6,FALSE)</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workbookViewId="0"/>
  </sheetViews>
  <sheetFormatPr defaultRowHeight="15" x14ac:dyDescent="0.2"/>
  <cols>
    <col min="1" max="1" width="87.88671875" customWidth="1"/>
    <col min="11" max="11" width="26.109375" customWidth="1"/>
  </cols>
  <sheetData>
    <row r="1" spans="1:13" ht="15.75" x14ac:dyDescent="0.25">
      <c r="A1" s="161" t="s">
        <v>139</v>
      </c>
      <c r="B1" s="154"/>
      <c r="C1" s="154"/>
      <c r="D1" s="154"/>
      <c r="E1" s="154"/>
      <c r="F1" s="154"/>
      <c r="G1" s="154"/>
      <c r="H1" s="154"/>
      <c r="I1" s="154"/>
      <c r="J1" s="154"/>
      <c r="K1" s="154"/>
      <c r="L1" s="154"/>
      <c r="M1" s="154"/>
    </row>
    <row r="2" spans="1:13" x14ac:dyDescent="0.2">
      <c r="A2" s="154"/>
      <c r="B2" s="154"/>
      <c r="C2" s="154"/>
      <c r="D2" s="154"/>
      <c r="E2" s="154"/>
      <c r="F2" s="154"/>
      <c r="G2" s="154"/>
      <c r="H2" s="154"/>
      <c r="I2" s="154"/>
      <c r="J2" s="154"/>
      <c r="K2" s="154"/>
      <c r="L2" s="154"/>
      <c r="M2" s="154"/>
    </row>
    <row r="3" spans="1:13" x14ac:dyDescent="0.2">
      <c r="A3" s="154"/>
      <c r="B3" s="154"/>
      <c r="C3" s="154"/>
      <c r="D3" s="154"/>
      <c r="E3" s="154"/>
      <c r="F3" s="154"/>
      <c r="G3" s="154"/>
      <c r="H3" s="154"/>
      <c r="I3" s="154"/>
      <c r="J3" s="154"/>
      <c r="K3" s="154"/>
      <c r="L3" s="154"/>
      <c r="M3" s="154"/>
    </row>
    <row r="4" spans="1:13" x14ac:dyDescent="0.2">
      <c r="A4" s="154"/>
      <c r="B4" s="154"/>
      <c r="C4" s="154"/>
      <c r="D4" s="154"/>
      <c r="E4" s="154"/>
      <c r="F4" s="154"/>
      <c r="G4" s="154"/>
      <c r="H4" s="154"/>
      <c r="I4" s="154"/>
      <c r="J4" s="154"/>
      <c r="K4" s="154"/>
      <c r="L4" s="154"/>
      <c r="M4" s="154"/>
    </row>
    <row r="5" spans="1:13" ht="15.75" x14ac:dyDescent="0.25">
      <c r="A5" s="161" t="s">
        <v>126</v>
      </c>
      <c r="B5" s="161"/>
      <c r="C5" s="161"/>
      <c r="D5" s="154"/>
      <c r="E5" s="154"/>
      <c r="F5" s="154"/>
      <c r="G5" s="154"/>
      <c r="H5" s="154"/>
      <c r="I5" s="154"/>
      <c r="J5" s="154"/>
      <c r="K5" s="154"/>
      <c r="L5" s="154"/>
      <c r="M5" s="154"/>
    </row>
    <row r="6" spans="1:13" ht="38.25" customHeight="1" x14ac:dyDescent="0.2">
      <c r="A6" s="162" t="s">
        <v>279</v>
      </c>
      <c r="B6" s="154"/>
      <c r="C6" s="154"/>
      <c r="D6" s="154"/>
      <c r="E6" s="154"/>
      <c r="F6" s="154"/>
      <c r="G6" s="154"/>
      <c r="H6" s="154"/>
      <c r="I6" s="154"/>
      <c r="J6" s="154"/>
      <c r="K6" s="154"/>
      <c r="L6" s="154"/>
      <c r="M6" s="154"/>
    </row>
    <row r="7" spans="1:13" ht="15.75" x14ac:dyDescent="0.25">
      <c r="A7" s="161" t="s">
        <v>127</v>
      </c>
      <c r="B7" s="161"/>
      <c r="C7" s="161"/>
      <c r="D7" s="161"/>
      <c r="E7" s="161"/>
      <c r="F7" s="154"/>
      <c r="G7" s="154"/>
      <c r="H7" s="154"/>
      <c r="I7" s="154"/>
      <c r="J7" s="154"/>
      <c r="K7" s="154"/>
    </row>
    <row r="8" spans="1:13" x14ac:dyDescent="0.2">
      <c r="A8" s="194" t="s">
        <v>248</v>
      </c>
      <c r="B8" s="194"/>
      <c r="C8" s="194"/>
      <c r="D8" s="194"/>
      <c r="E8" s="194"/>
      <c r="F8" s="194"/>
      <c r="G8" s="194"/>
      <c r="H8" s="194"/>
      <c r="I8" s="194"/>
      <c r="J8" s="194"/>
      <c r="K8" s="194"/>
    </row>
    <row r="9" spans="1:13" x14ac:dyDescent="0.2">
      <c r="A9" s="154" t="s">
        <v>136</v>
      </c>
      <c r="B9" s="154"/>
      <c r="C9" s="154"/>
      <c r="D9" s="154"/>
      <c r="E9" s="154"/>
      <c r="F9" s="154"/>
      <c r="G9" s="154"/>
      <c r="H9" s="154"/>
      <c r="I9" s="154"/>
      <c r="J9" s="154"/>
      <c r="K9" s="154"/>
    </row>
    <row r="11" spans="1:13" ht="15.75" x14ac:dyDescent="0.25">
      <c r="A11" s="1"/>
    </row>
    <row r="12" spans="1:13" x14ac:dyDescent="0.2">
      <c r="A12" s="182"/>
    </row>
  </sheetData>
  <mergeCells count="1">
    <mergeCell ref="A8:K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0"/>
  <sheetViews>
    <sheetView workbookViewId="0">
      <selection activeCell="C11" sqref="C11"/>
    </sheetView>
  </sheetViews>
  <sheetFormatPr defaultRowHeight="15" x14ac:dyDescent="0.2"/>
  <cols>
    <col min="1" max="1" width="30.88671875" bestFit="1" customWidth="1"/>
    <col min="2" max="6" width="12" customWidth="1"/>
    <col min="8" max="8" width="11" bestFit="1" customWidth="1"/>
    <col min="9" max="9" width="10.109375" bestFit="1" customWidth="1"/>
    <col min="10" max="10" width="11.5546875" bestFit="1" customWidth="1"/>
  </cols>
  <sheetData>
    <row r="2" spans="1:10" ht="15.75" x14ac:dyDescent="0.25">
      <c r="A2" s="1" t="s">
        <v>170</v>
      </c>
      <c r="C2" s="2" t="s">
        <v>0</v>
      </c>
    </row>
    <row r="4" spans="1:10" ht="46.5" customHeight="1" x14ac:dyDescent="0.2">
      <c r="A4" s="3" t="s">
        <v>2</v>
      </c>
      <c r="B4" s="38" t="s">
        <v>35</v>
      </c>
      <c r="C4" s="3" t="s">
        <v>90</v>
      </c>
      <c r="D4" s="38" t="s">
        <v>45</v>
      </c>
      <c r="E4" s="3" t="s">
        <v>91</v>
      </c>
      <c r="F4" s="38" t="s">
        <v>92</v>
      </c>
      <c r="G4" s="86" t="s">
        <v>1</v>
      </c>
    </row>
    <row r="5" spans="1:10" x14ac:dyDescent="0.2">
      <c r="A5" s="4" t="s">
        <v>6</v>
      </c>
      <c r="B5" s="5">
        <v>143852139</v>
      </c>
      <c r="C5" s="9">
        <f>(Table2311[[#This Row],[2012]]-Table2311[[#This Row],[2011]])/Table2311[[#This Row],[2011]]</f>
        <v>-2.3307112590101979E-2</v>
      </c>
      <c r="D5" s="5">
        <v>140499361</v>
      </c>
      <c r="E5" s="9">
        <f>(Table2311[[#This Row],[2013]]-Table2311[[#This Row],[2012]])/Table2311[[#This Row],[2012]]</f>
        <v>-4.1425469543594579E-2</v>
      </c>
      <c r="F5" s="5">
        <f>VLOOKUP(Table2311[[#This Row],[Edumis]],[5]ERI!$A:$K,11,FALSE)</f>
        <v>134679109</v>
      </c>
      <c r="G5" s="83">
        <f>VLOOKUP(Table2311[[#This Row],[TEOs]],'1.1'!$A:$F,6,FALSE)</f>
        <v>7001</v>
      </c>
      <c r="H5" s="61"/>
      <c r="I5" s="61"/>
      <c r="J5" s="61"/>
    </row>
    <row r="6" spans="1:10" x14ac:dyDescent="0.2">
      <c r="A6" s="4" t="s">
        <v>38</v>
      </c>
      <c r="B6" s="5">
        <v>91628400</v>
      </c>
      <c r="C6" s="9">
        <f>(Table2311[[#This Row],[2012]]-Table2311[[#This Row],[2011]])/Table2311[[#This Row],[2011]]</f>
        <v>-2.5591606969018341E-2</v>
      </c>
      <c r="D6" s="5">
        <v>89283482</v>
      </c>
      <c r="E6" s="9">
        <f>(Table2311[[#This Row],[2013]]-Table2311[[#This Row],[2012]])/Table2311[[#This Row],[2012]]</f>
        <v>-3.2042309909015423E-2</v>
      </c>
      <c r="F6" s="5">
        <f>VLOOKUP(Table2311[[#This Row],[Edumis]],[5]ERI!$A:$K,11,FALSE)</f>
        <v>86422633</v>
      </c>
      <c r="G6" s="83">
        <f>VLOOKUP(Table2311[[#This Row],[TEOs]],'1.1'!$A:$F,6,FALSE)</f>
        <v>7007</v>
      </c>
      <c r="H6" s="61"/>
      <c r="I6" s="61"/>
      <c r="J6" s="61"/>
    </row>
    <row r="7" spans="1:10" x14ac:dyDescent="0.2">
      <c r="A7" s="4" t="s">
        <v>7</v>
      </c>
      <c r="B7" s="5">
        <v>54087511.200000003</v>
      </c>
      <c r="C7" s="9">
        <f>(Table2311[[#This Row],[2012]]-Table2311[[#This Row],[2011]])/Table2311[[#This Row],[2011]]</f>
        <v>2.1885887957070454E-2</v>
      </c>
      <c r="D7" s="5">
        <v>55271264.409999996</v>
      </c>
      <c r="E7" s="9">
        <f>(Table2311[[#This Row],[2013]]-Table2311[[#This Row],[2012]])/Table2311[[#This Row],[2012]]</f>
        <v>4.1392363725011469E-2</v>
      </c>
      <c r="F7" s="5">
        <f>VLOOKUP(Table2311[[#This Row],[Edumis]],[5]ERI!$A:$K,11,FALSE)</f>
        <v>57559072.689999998</v>
      </c>
      <c r="G7" s="83">
        <f>VLOOKUP(Table2311[[#This Row],[TEOs]],'1.1'!$A:$F,6,FALSE)</f>
        <v>7003</v>
      </c>
      <c r="H7" s="62"/>
      <c r="I7" s="62"/>
      <c r="J7" s="62"/>
    </row>
    <row r="8" spans="1:10" x14ac:dyDescent="0.2">
      <c r="A8" s="4" t="s">
        <v>8</v>
      </c>
      <c r="B8" s="5">
        <v>34451981</v>
      </c>
      <c r="C8" s="9">
        <f>(Table2311[[#This Row],[2012]]-Table2311[[#This Row],[2011]])/Table2311[[#This Row],[2011]]</f>
        <v>0.14558741919659135</v>
      </c>
      <c r="D8" s="5">
        <v>39467756</v>
      </c>
      <c r="E8" s="9">
        <f>(Table2311[[#This Row],[2013]]-Table2311[[#This Row],[2012]])/Table2311[[#This Row],[2012]]</f>
        <v>-0.18605288833750772</v>
      </c>
      <c r="F8" s="5">
        <f>VLOOKUP(Table2311[[#This Row],[Edumis]],[5]ERI!$A:$K,11,FALSE)</f>
        <v>32124666</v>
      </c>
      <c r="G8" s="83">
        <f>VLOOKUP(Table2311[[#This Row],[TEOs]],'1.1'!$A:$F,6,FALSE)</f>
        <v>7004</v>
      </c>
      <c r="H8" s="61"/>
      <c r="I8" s="61"/>
      <c r="J8" s="61"/>
    </row>
    <row r="9" spans="1:10" x14ac:dyDescent="0.2">
      <c r="A9" s="4" t="s">
        <v>37</v>
      </c>
      <c r="B9" s="5">
        <v>27552720</v>
      </c>
      <c r="C9" s="9">
        <f>(Table2311[[#This Row],[2012]]-Table2311[[#This Row],[2011]])/Table2311[[#This Row],[2011]]</f>
        <v>5.1505622675365624E-3</v>
      </c>
      <c r="D9" s="5">
        <v>27694632</v>
      </c>
      <c r="E9" s="9">
        <f>(Table2311[[#This Row],[2013]]-Table2311[[#This Row],[2012]])/Table2311[[#This Row],[2012]]</f>
        <v>1.1080956049533354E-2</v>
      </c>
      <c r="F9" s="5">
        <f>VLOOKUP(Table2311[[#This Row],[Edumis]],[5]ERI!$A:$K,11,FALSE)</f>
        <v>28001515</v>
      </c>
      <c r="G9" s="83">
        <f>VLOOKUP(Table2311[[#This Row],[TEOs]],'1.1'!$A:$F,6,FALSE)</f>
        <v>7005</v>
      </c>
    </row>
    <row r="10" spans="1:10" x14ac:dyDescent="0.2">
      <c r="A10" s="4" t="s">
        <v>10</v>
      </c>
      <c r="B10" s="5">
        <v>25441610</v>
      </c>
      <c r="C10" s="9">
        <f>(Table2311[[#This Row],[2012]]-Table2311[[#This Row],[2011]])/Table2311[[#This Row],[2011]]</f>
        <v>6.0766987623817829E-3</v>
      </c>
      <c r="D10" s="5">
        <v>25596211</v>
      </c>
      <c r="E10" s="9">
        <f>(Table2311[[#This Row],[2013]]-Table2311[[#This Row],[2012]])/Table2311[[#This Row],[2012]]</f>
        <v>4.3419590501109717E-2</v>
      </c>
      <c r="F10" s="5">
        <f>VLOOKUP(Table2311[[#This Row],[Edumis]],[5]ERI!$A:$K,11,FALSE)</f>
        <v>26707588</v>
      </c>
      <c r="G10" s="83">
        <f>VLOOKUP(Table2311[[#This Row],[TEOs]],'1.1'!$A:$F,6,FALSE)</f>
        <v>7006</v>
      </c>
    </row>
    <row r="11" spans="1:10" x14ac:dyDescent="0.2">
      <c r="A11" s="4" t="s">
        <v>9</v>
      </c>
      <c r="B11" s="5">
        <v>20642355</v>
      </c>
      <c r="C11" s="9">
        <f>(Table2311[[#This Row],[2012]]-Table2311[[#This Row],[2011]])/Table2311[[#This Row],[2011]]</f>
        <v>-3.4889623785658179E-2</v>
      </c>
      <c r="D11" s="5">
        <v>19922151</v>
      </c>
      <c r="E11" s="9">
        <f>(Table2311[[#This Row],[2013]]-Table2311[[#This Row],[2012]])/Table2311[[#This Row],[2012]]</f>
        <v>9.387138969080196E-3</v>
      </c>
      <c r="F11" s="5">
        <f>VLOOKUP(Table2311[[#This Row],[Edumis]],[5]ERI!$A:$K,11,FALSE)</f>
        <v>20109163</v>
      </c>
      <c r="G11" s="83">
        <f>VLOOKUP(Table2311[[#This Row],[TEOs]],'1.1'!$A:$F,6,FALSE)</f>
        <v>7002</v>
      </c>
    </row>
    <row r="12" spans="1:10" x14ac:dyDescent="0.2">
      <c r="A12" s="4" t="s">
        <v>11</v>
      </c>
      <c r="B12" s="5">
        <v>9528866</v>
      </c>
      <c r="C12" s="9">
        <f>(Table2311[[#This Row],[2012]]-Table2311[[#This Row],[2011]])/Table2311[[#This Row],[2011]]</f>
        <v>-3.3309000252495939E-2</v>
      </c>
      <c r="D12" s="5">
        <v>9211469</v>
      </c>
      <c r="E12" s="9">
        <f>(Table2311[[#This Row],[2013]]-Table2311[[#This Row],[2012]])/Table2311[[#This Row],[2012]]</f>
        <v>-7.2789692936056125E-2</v>
      </c>
      <c r="F12" s="5">
        <f>VLOOKUP(Table2311[[#This Row],[Edumis]],[5]ERI!$A:$K,11,FALSE)</f>
        <v>8540969</v>
      </c>
      <c r="G12" s="83">
        <f>VLOOKUP(Table2311[[#This Row],[TEOs]],'1.1'!$A:$F,6,FALSE)</f>
        <v>7008</v>
      </c>
    </row>
    <row r="13" spans="1:10" x14ac:dyDescent="0.2">
      <c r="A13" s="4" t="s">
        <v>14</v>
      </c>
      <c r="B13" s="5">
        <v>1129559</v>
      </c>
      <c r="C13" s="9">
        <f>(Table2311[[#This Row],[2012]]-Table2311[[#This Row],[2011]])/Table2311[[#This Row],[2011]]</f>
        <v>-4.4244700808014452E-2</v>
      </c>
      <c r="D13" s="5">
        <v>1079582</v>
      </c>
      <c r="E13" s="9">
        <f>(Table2311[[#This Row],[2013]]-Table2311[[#This Row],[2012]])/Table2311[[#This Row],[2012]]</f>
        <v>0.15408185760785192</v>
      </c>
      <c r="F13" s="5">
        <f>VLOOKUP(Table2311[[#This Row],[Edumis]],[5]ERI!$A:$K,11,FALSE)</f>
        <v>1245926</v>
      </c>
      <c r="G13" s="83">
        <f>VLOOKUP(Table2311[[#This Row],[TEOs]],'1.1'!$A:$F,6,FALSE)</f>
        <v>6013</v>
      </c>
    </row>
    <row r="14" spans="1:10" x14ac:dyDescent="0.2">
      <c r="A14" s="4" t="s">
        <v>19</v>
      </c>
      <c r="B14" s="5">
        <v>176092.77</v>
      </c>
      <c r="C14" s="9">
        <f>(Table2311[[#This Row],[2012]]-Table2311[[#This Row],[2011]])/Table2311[[#This Row],[2011]]</f>
        <v>0.65588354365713031</v>
      </c>
      <c r="D14" s="5">
        <v>291589.12</v>
      </c>
      <c r="E14" s="9">
        <f>(Table2311[[#This Row],[2013]]-Table2311[[#This Row],[2012]])/Table2311[[#This Row],[2012]]</f>
        <v>0.14096523903223823</v>
      </c>
      <c r="F14" s="5">
        <f>VLOOKUP(Table2311[[#This Row],[Edumis]],[5]ERI!$A:$K,11,FALSE)</f>
        <v>332693.05</v>
      </c>
      <c r="G14" s="83">
        <f>VLOOKUP(Table2311[[#This Row],[TEOs]],'1.1'!$A:$F,6,FALSE)</f>
        <v>6007</v>
      </c>
    </row>
    <row r="15" spans="1:10" x14ac:dyDescent="0.2">
      <c r="A15" s="18" t="s">
        <v>40</v>
      </c>
      <c r="B15" s="5">
        <v>1001457</v>
      </c>
      <c r="C15" s="9">
        <f>(Table2311[[#This Row],[2012]]-Table2311[[#This Row],[2011]])/Table2311[[#This Row],[2011]]</f>
        <v>-0.2177497386308149</v>
      </c>
      <c r="D15" s="5">
        <v>783390</v>
      </c>
      <c r="E15" s="9">
        <f>(Table2311[[#This Row],[2013]]-Table2311[[#This Row],[2012]])/Table2311[[#This Row],[2012]]</f>
        <v>-0.65216175851108649</v>
      </c>
      <c r="F15" s="5">
        <f>VLOOKUP(Table2311[[#This Row],[Edumis]],[5]ERI!$A:$K,11,FALSE)</f>
        <v>272493</v>
      </c>
      <c r="G15" s="83">
        <f>VLOOKUP(Table2311[[#This Row],[TEOs]],'1.1'!$A:$F,6,FALSE)</f>
        <v>9386</v>
      </c>
    </row>
    <row r="16" spans="1:10" x14ac:dyDescent="0.2">
      <c r="A16" s="4" t="s">
        <v>12</v>
      </c>
      <c r="B16" s="5">
        <v>190925</v>
      </c>
      <c r="C16" s="9">
        <f>(Table2311[[#This Row],[2012]]-Table2311[[#This Row],[2011]])/Table2311[[#This Row],[2011]]</f>
        <v>0.54439177687573659</v>
      </c>
      <c r="D16" s="5">
        <v>294863</v>
      </c>
      <c r="E16" s="9">
        <f>(Table2311[[#This Row],[2013]]-Table2311[[#This Row],[2012]])/Table2311[[#This Row],[2012]]</f>
        <v>-0.23919582992779698</v>
      </c>
      <c r="F16" s="5">
        <f>VLOOKUP(Table2311[[#This Row],[Edumis]],[5]ERI!$A:$K,11,FALSE)</f>
        <v>224333</v>
      </c>
      <c r="G16" s="83">
        <f>VLOOKUP(Table2311[[#This Row],[TEOs]],'1.1'!$A:$F,6,FALSE)</f>
        <v>6004</v>
      </c>
    </row>
    <row r="17" spans="1:7" x14ac:dyDescent="0.2">
      <c r="A17" s="4" t="s">
        <v>13</v>
      </c>
      <c r="B17" s="5">
        <v>87000</v>
      </c>
      <c r="C17" s="9">
        <f>(Table2311[[#This Row],[2012]]-Table2311[[#This Row],[2011]])/Table2311[[#This Row],[2011]]</f>
        <v>1.6743908045977012</v>
      </c>
      <c r="D17" s="5">
        <v>232672</v>
      </c>
      <c r="E17" s="9">
        <f>(Table2311[[#This Row],[2013]]-Table2311[[#This Row],[2012]])/Table2311[[#This Row],[2012]]</f>
        <v>-0.14857395819007013</v>
      </c>
      <c r="F17" s="5">
        <f>VLOOKUP(Table2311[[#This Row],[Edumis]],[5]ERI!$A:$K,11,FALSE)</f>
        <v>198103</v>
      </c>
      <c r="G17" s="83">
        <f>VLOOKUP(Table2311[[#This Row],[TEOs]],'1.1'!$A:$F,6,FALSE)</f>
        <v>6019</v>
      </c>
    </row>
    <row r="18" spans="1:7" x14ac:dyDescent="0.2">
      <c r="A18" s="4" t="s">
        <v>41</v>
      </c>
      <c r="B18" s="5">
        <v>524977</v>
      </c>
      <c r="C18" s="9">
        <f>(Table2311[[#This Row],[2012]]-Table2311[[#This Row],[2011]])/Table2311[[#This Row],[2011]]</f>
        <v>-0.17070081165460582</v>
      </c>
      <c r="D18" s="5">
        <v>435363</v>
      </c>
      <c r="E18" s="9">
        <f>(Table2311[[#This Row],[2013]]-Table2311[[#This Row],[2012]])/Table2311[[#This Row],[2012]]</f>
        <v>-0.67743469242907639</v>
      </c>
      <c r="F18" s="5">
        <f>VLOOKUP(Table2311[[#This Row],[Edumis]],[5]ERI!$A:$K,11,FALSE)</f>
        <v>140433</v>
      </c>
      <c r="G18" s="83">
        <f>VLOOKUP(Table2311[[#This Row],[TEOs]],'1.1'!$A:$F,6,FALSE)</f>
        <v>6008</v>
      </c>
    </row>
    <row r="19" spans="1:7" x14ac:dyDescent="0.2">
      <c r="A19" s="4" t="s">
        <v>42</v>
      </c>
      <c r="B19" s="5">
        <v>110967.3</v>
      </c>
      <c r="C19" s="9">
        <f>(Table2311[[#This Row],[2012]]-Table2311[[#This Row],[2011]])/Table2311[[#This Row],[2011]]</f>
        <v>-0.52110207241232331</v>
      </c>
      <c r="D19" s="5">
        <v>53142.01</v>
      </c>
      <c r="E19" s="9">
        <f>(Table2311[[#This Row],[2013]]-Table2311[[#This Row],[2012]])/Table2311[[#This Row],[2012]]</f>
        <v>0.60708392475181117</v>
      </c>
      <c r="F19" s="5">
        <f>VLOOKUP(Table2311[[#This Row],[Edumis]],[5]ERI!$A:$K,11,FALSE)</f>
        <v>85403.67</v>
      </c>
      <c r="G19" s="83">
        <f>VLOOKUP(Table2311[[#This Row],[TEOs]],'1.1'!$A:$F,6,FALSE)</f>
        <v>8396</v>
      </c>
    </row>
    <row r="20" spans="1:7" x14ac:dyDescent="0.2">
      <c r="A20" s="4" t="s">
        <v>20</v>
      </c>
      <c r="B20" s="5">
        <v>229416</v>
      </c>
      <c r="C20" s="9">
        <f>(Table2311[[#This Row],[2012]]-Table2311[[#This Row],[2011]])/Table2311[[#This Row],[2011]]</f>
        <v>-0.23718049307807651</v>
      </c>
      <c r="D20" s="5">
        <v>175003</v>
      </c>
      <c r="E20" s="9">
        <f>(Table2311[[#This Row],[2013]]-Table2311[[#This Row],[2012]])/Table2311[[#This Row],[2012]]</f>
        <v>-0.66137151934538263</v>
      </c>
      <c r="F20" s="5">
        <f>VLOOKUP(Table2311[[#This Row],[Edumis]],[5]ERI!$A:$K,11,FALSE)</f>
        <v>59261</v>
      </c>
      <c r="G20" s="83">
        <f>VLOOKUP(Table2311[[#This Row],[TEOs]],'1.1'!$A:$F,6,FALSE)</f>
        <v>6014</v>
      </c>
    </row>
    <row r="21" spans="1:7" x14ac:dyDescent="0.2">
      <c r="A21" s="4" t="s">
        <v>16</v>
      </c>
      <c r="B21" s="5">
        <v>153106</v>
      </c>
      <c r="C21" s="9">
        <f>(Table2311[[#This Row],[2012]]-Table2311[[#This Row],[2011]])/Table2311[[#This Row],[2011]]</f>
        <v>-3.1154886157302784E-3</v>
      </c>
      <c r="D21" s="5">
        <v>152629</v>
      </c>
      <c r="E21" s="9">
        <f>(Table2311[[#This Row],[2013]]-Table2311[[#This Row],[2012]])/Table2311[[#This Row],[2012]]</f>
        <v>-0.64287913830268162</v>
      </c>
      <c r="F21" s="5">
        <f>VLOOKUP(Table2311[[#This Row],[Edumis]],[5]ERI!$A:$K,11,FALSE)</f>
        <v>54507</v>
      </c>
      <c r="G21" s="83">
        <f>VLOOKUP(Table2311[[#This Row],[TEOs]],'1.1'!$A:$F,6,FALSE)</f>
        <v>6006</v>
      </c>
    </row>
    <row r="22" spans="1:7" x14ac:dyDescent="0.2">
      <c r="A22" s="4" t="s">
        <v>43</v>
      </c>
      <c r="B22" s="5">
        <v>0</v>
      </c>
      <c r="C22" s="9"/>
      <c r="D22" s="5">
        <v>8802</v>
      </c>
      <c r="E22" s="9">
        <f>(Table2311[[#This Row],[2013]]-Table2311[[#This Row],[2012]])/Table2311[[#This Row],[2012]]</f>
        <v>2.9882981140649854</v>
      </c>
      <c r="F22" s="5">
        <f>VLOOKUP(Table2311[[#This Row],[Edumis]],[5]ERI!$A:$K,11,FALSE)</f>
        <v>35105</v>
      </c>
      <c r="G22" s="83">
        <f>VLOOKUP(Table2311[[#This Row],[TEOs]],'1.1'!$A:$F,6,FALSE)</f>
        <v>8619</v>
      </c>
    </row>
    <row r="23" spans="1:7" x14ac:dyDescent="0.2">
      <c r="A23" s="4" t="s">
        <v>24</v>
      </c>
      <c r="B23" s="5">
        <v>150067</v>
      </c>
      <c r="C23" s="9">
        <f>(Table2311[[#This Row],[2012]]-Table2311[[#This Row],[2011]])/Table2311[[#This Row],[2011]]</f>
        <v>-0.51662257524972177</v>
      </c>
      <c r="D23" s="5">
        <v>72539</v>
      </c>
      <c r="E23" s="9">
        <f>(Table2311[[#This Row],[2013]]-Table2311[[#This Row],[2012]])/Table2311[[#This Row],[2012]]</f>
        <v>-0.54162588400722367</v>
      </c>
      <c r="F23" s="5">
        <f>VLOOKUP(Table2311[[#This Row],[Edumis]],[5]ERI!$A:$K,11,FALSE)</f>
        <v>33250</v>
      </c>
      <c r="G23" s="83">
        <f>VLOOKUP(Table2311[[#This Row],[TEOs]],'1.1'!$A:$F,6,FALSE)</f>
        <v>8694</v>
      </c>
    </row>
    <row r="24" spans="1:7" x14ac:dyDescent="0.2">
      <c r="A24" s="4" t="s">
        <v>21</v>
      </c>
      <c r="B24" s="5">
        <v>0</v>
      </c>
      <c r="C24" s="9"/>
      <c r="D24" s="5">
        <v>41951.74</v>
      </c>
      <c r="E24" s="9">
        <f>(Table2311[[#This Row],[2013]]-Table2311[[#This Row],[2012]])/Table2311[[#This Row],[2012]]</f>
        <v>-0.44850916791532364</v>
      </c>
      <c r="F24" s="5">
        <f>VLOOKUP(Table2311[[#This Row],[Edumis]],[5]ERI!$A:$K,11,FALSE)</f>
        <v>23136</v>
      </c>
      <c r="G24" s="83">
        <f>VLOOKUP(Table2311[[#This Row],[TEOs]],'1.1'!$A:$F,6,FALSE)</f>
        <v>8563</v>
      </c>
    </row>
    <row r="25" spans="1:7" x14ac:dyDescent="0.2">
      <c r="A25" s="4" t="s">
        <v>18</v>
      </c>
      <c r="B25" s="5">
        <v>137919.70000000001</v>
      </c>
      <c r="C25" s="9">
        <f>(Table2311[[#This Row],[2012]]-Table2311[[#This Row],[2011]])/Table2311[[#This Row],[2011]]</f>
        <v>-0.65901528208080495</v>
      </c>
      <c r="D25" s="5">
        <v>47028.51</v>
      </c>
      <c r="E25" s="9">
        <f>(Table2311[[#This Row],[2013]]-Table2311[[#This Row],[2012]])/Table2311[[#This Row],[2012]]</f>
        <v>-0.94110147227713581</v>
      </c>
      <c r="F25" s="5">
        <f>VLOOKUP(Table2311[[#This Row],[Edumis]],[5]ERI!$A:$K,11,FALSE)</f>
        <v>2769.91</v>
      </c>
      <c r="G25" s="83">
        <f>VLOOKUP(Table2311[[#This Row],[TEOs]],'1.1'!$A:$F,6,FALSE)</f>
        <v>6022</v>
      </c>
    </row>
    <row r="26" spans="1:7" x14ac:dyDescent="0.2">
      <c r="A26" s="4" t="s">
        <v>22</v>
      </c>
      <c r="B26" s="5">
        <v>0</v>
      </c>
      <c r="C26" s="9"/>
      <c r="D26" s="5">
        <v>8505</v>
      </c>
      <c r="E26" s="9">
        <f>(Table2311[[#This Row],[2013]]-Table2311[[#This Row],[2012]])/Table2311[[#This Row],[2012]]</f>
        <v>-0.41211052322163433</v>
      </c>
      <c r="F26" s="5">
        <f>VLOOKUP(Table2311[[#This Row],[Edumis]],[5]ERI!$A:$K,11,FALSE)</f>
        <v>5000</v>
      </c>
      <c r="G26" s="83">
        <f>VLOOKUP(Table2311[[#This Row],[TEOs]],'1.1'!$A:$F,6,FALSE)</f>
        <v>6012</v>
      </c>
    </row>
    <row r="27" spans="1:7" x14ac:dyDescent="0.2">
      <c r="A27" s="4" t="s">
        <v>15</v>
      </c>
      <c r="B27" s="5">
        <v>94413</v>
      </c>
      <c r="C27" s="9">
        <f>(Table2311[[#This Row],[2012]]-Table2311[[#This Row],[2011]])/Table2311[[#This Row],[2011]]</f>
        <v>-0.26012307627127618</v>
      </c>
      <c r="D27" s="5">
        <v>69854</v>
      </c>
      <c r="E27" s="9">
        <f>(Table2311[[#This Row],[2013]]-Table2311[[#This Row],[2012]])/Table2311[[#This Row],[2012]]</f>
        <v>-1</v>
      </c>
      <c r="F27" s="5">
        <v>0</v>
      </c>
      <c r="G27" s="83">
        <f>VLOOKUP(Table2311[[#This Row],[TEOs]],'1.1'!$A:$F,6,FALSE)</f>
        <v>6010</v>
      </c>
    </row>
    <row r="28" spans="1:7" x14ac:dyDescent="0.2">
      <c r="A28" s="7" t="s">
        <v>27</v>
      </c>
      <c r="B28" s="6">
        <f>SUBTOTAL(109,B5:B27)</f>
        <v>411171481.96999997</v>
      </c>
      <c r="C28" s="14">
        <f>(Table2311[[#This Row],[2012]]-Table2311[[#This Row],[2011]])/Table2311[[#This Row],[2011]]</f>
        <v>-1.1631209871576181E-3</v>
      </c>
      <c r="D28" s="6">
        <f>SUBTOTAL(109,D5:D27)</f>
        <v>410693239.78999996</v>
      </c>
      <c r="E28" s="14">
        <f>(Table2311[[#This Row],[2013]]-Table2311[[#This Row],[2012]])/Table2311[[#This Row],[2012]]</f>
        <v>-3.3689647477700722E-2</v>
      </c>
      <c r="F28" s="6">
        <f>SUBTOTAL(109,F5:F27)</f>
        <v>396857129.32000005</v>
      </c>
      <c r="G28" s="83"/>
    </row>
    <row r="29" spans="1:7" x14ac:dyDescent="0.2">
      <c r="C29" s="9"/>
      <c r="E29" s="9"/>
    </row>
    <row r="30" spans="1:7" x14ac:dyDescent="0.2">
      <c r="E30" s="9"/>
    </row>
  </sheetData>
  <pageMargins left="0.70866141732283472" right="0.70866141732283472" top="0.74803149606299213" bottom="0.74803149606299213" header="0.31496062992125984" footer="0.31496062992125984"/>
  <pageSetup paperSize="9" scale="6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2"/>
  <sheetViews>
    <sheetView workbookViewId="0">
      <selection activeCell="F32" sqref="F32"/>
    </sheetView>
  </sheetViews>
  <sheetFormatPr defaultRowHeight="15" x14ac:dyDescent="0.2"/>
  <cols>
    <col min="1" max="1" width="30.88671875" bestFit="1" customWidth="1"/>
    <col min="2" max="4" width="11.88671875" customWidth="1"/>
    <col min="5" max="5" width="13.33203125" bestFit="1" customWidth="1"/>
    <col min="6" max="6" width="11.88671875" customWidth="1"/>
    <col min="8" max="8" width="10.109375" bestFit="1" customWidth="1"/>
    <col min="9" max="9" width="12.5546875" bestFit="1" customWidth="1"/>
  </cols>
  <sheetData>
    <row r="2" spans="1:9" ht="15.75" x14ac:dyDescent="0.25">
      <c r="A2" s="1" t="s">
        <v>172</v>
      </c>
      <c r="C2" s="2" t="s">
        <v>0</v>
      </c>
    </row>
    <row r="4" spans="1:9" ht="51.75" customHeight="1" x14ac:dyDescent="0.2">
      <c r="A4" s="3" t="s">
        <v>2</v>
      </c>
      <c r="B4" s="39" t="s">
        <v>45</v>
      </c>
      <c r="C4" s="15" t="s">
        <v>173</v>
      </c>
      <c r="D4" s="39" t="s">
        <v>92</v>
      </c>
      <c r="E4" s="15" t="s">
        <v>174</v>
      </c>
      <c r="F4" s="39" t="s">
        <v>171</v>
      </c>
      <c r="G4" s="86" t="s">
        <v>1</v>
      </c>
    </row>
    <row r="5" spans="1:9" x14ac:dyDescent="0.2">
      <c r="A5" s="4" t="s">
        <v>6</v>
      </c>
      <c r="B5" s="5">
        <f>VLOOKUP(Table231112[[#This Row],[TEOs]],'1.8'!$A:$G,4,FALSE)</f>
        <v>140499361</v>
      </c>
      <c r="C5" s="9">
        <f>(Table231112[[#This Row],[2013]]-Table231112[[#This Row],[2012]])/Table231112[[#This Row],[2012]]</f>
        <v>-4.1425469543594579E-2</v>
      </c>
      <c r="D5" s="5">
        <f>VLOOKUP(Table231112[[#This Row],[TEOs]],'1.8'!$A:$G,6,FALSE)</f>
        <v>134679109</v>
      </c>
      <c r="E5" s="9">
        <f>(Table231112[[#This Row],[2014]]-Table231112[[#This Row],[2013]])/Table231112[[#This Row],[2013]]</f>
        <v>3.9671936053571603E-2</v>
      </c>
      <c r="F5" s="5">
        <f>VLOOKUP(Table231112[[#This Row],[Edumis]],[5]ERI!$A:$L,12,FALSE)</f>
        <v>140022090</v>
      </c>
      <c r="G5" s="83">
        <f>VLOOKUP(Table231112[[#This Row],[TEOs]],'1.1'!$A:$F,6,FALSE)</f>
        <v>7001</v>
      </c>
      <c r="H5" s="61"/>
      <c r="I5" s="61"/>
    </row>
    <row r="6" spans="1:9" x14ac:dyDescent="0.2">
      <c r="A6" s="4" t="s">
        <v>38</v>
      </c>
      <c r="B6" s="5">
        <f>VLOOKUP(Table231112[[#This Row],[TEOs]],'1.8'!$A:$G,4,FALSE)</f>
        <v>89283482</v>
      </c>
      <c r="C6" s="9">
        <f>(Table231112[[#This Row],[2013]]-Table231112[[#This Row],[2012]])/Table231112[[#This Row],[2012]]</f>
        <v>-3.2042309909015423E-2</v>
      </c>
      <c r="D6" s="5">
        <f>VLOOKUP(Table231112[[#This Row],[TEOs]],'1.8'!$A:$G,6,FALSE)</f>
        <v>86422633</v>
      </c>
      <c r="E6" s="9">
        <f>(Table231112[[#This Row],[2014]]-Table231112[[#This Row],[2013]])/Table231112[[#This Row],[2013]]</f>
        <v>2.3606165759842101E-2</v>
      </c>
      <c r="F6" s="5">
        <f>VLOOKUP(Table231112[[#This Row],[Edumis]],[5]ERI!$A:$L,12,FALSE)</f>
        <v>88462740</v>
      </c>
      <c r="G6" s="83">
        <f>VLOOKUP(Table231112[[#This Row],[TEOs]],'1.1'!$A:$F,6,FALSE)</f>
        <v>7007</v>
      </c>
      <c r="H6" s="61"/>
      <c r="I6" s="61"/>
    </row>
    <row r="7" spans="1:9" x14ac:dyDescent="0.2">
      <c r="A7" s="4" t="s">
        <v>7</v>
      </c>
      <c r="B7" s="5">
        <f>VLOOKUP(Table231112[[#This Row],[TEOs]],'1.8'!$A:$G,4,FALSE)</f>
        <v>55271264.409999996</v>
      </c>
      <c r="C7" s="9">
        <f>(Table231112[[#This Row],[2013]]-Table231112[[#This Row],[2012]])/Table231112[[#This Row],[2012]]</f>
        <v>4.1392363725011469E-2</v>
      </c>
      <c r="D7" s="5">
        <f>VLOOKUP(Table231112[[#This Row],[TEOs]],'1.8'!$A:$G,6,FALSE)</f>
        <v>57559072.689999998</v>
      </c>
      <c r="E7" s="9">
        <f>(Table231112[[#This Row],[2014]]-Table231112[[#This Row],[2013]])/Table231112[[#This Row],[2013]]</f>
        <v>-4.3461525125207359E-2</v>
      </c>
      <c r="F7" s="5">
        <f>VLOOKUP(Table231112[[#This Row],[Edumis]],[5]ERI!$A:$L,12,FALSE)</f>
        <v>55057467.606099926</v>
      </c>
      <c r="G7" s="83">
        <f>VLOOKUP(Table231112[[#This Row],[TEOs]],'1.1'!$A:$F,6,FALSE)</f>
        <v>7003</v>
      </c>
      <c r="H7" s="62"/>
      <c r="I7" s="62"/>
    </row>
    <row r="8" spans="1:9" x14ac:dyDescent="0.2">
      <c r="A8" s="4" t="s">
        <v>8</v>
      </c>
      <c r="B8" s="5">
        <f>VLOOKUP(Table231112[[#This Row],[TEOs]],'1.8'!$A:$G,4,FALSE)</f>
        <v>39467756</v>
      </c>
      <c r="C8" s="9">
        <f>(Table231112[[#This Row],[2013]]-Table231112[[#This Row],[2012]])/Table231112[[#This Row],[2012]]</f>
        <v>-0.18605288833750772</v>
      </c>
      <c r="D8" s="5">
        <f>VLOOKUP(Table231112[[#This Row],[TEOs]],'1.8'!$A:$G,6,FALSE)</f>
        <v>32124666</v>
      </c>
      <c r="E8" s="9">
        <f>(Table231112[[#This Row],[2014]]-Table231112[[#This Row],[2013]])/Table231112[[#This Row],[2013]]</f>
        <v>0.32378889168839919</v>
      </c>
      <c r="F8" s="5">
        <f>VLOOKUP(Table231112[[#This Row],[Edumis]],[5]ERI!$A:$L,12,FALSE)</f>
        <v>42526276</v>
      </c>
      <c r="G8" s="83">
        <f>VLOOKUP(Table231112[[#This Row],[TEOs]],'1.1'!$A:$F,6,FALSE)</f>
        <v>7004</v>
      </c>
    </row>
    <row r="9" spans="1:9" x14ac:dyDescent="0.2">
      <c r="A9" s="4" t="s">
        <v>37</v>
      </c>
      <c r="B9" s="5">
        <f>VLOOKUP(Table231112[[#This Row],[TEOs]],'1.8'!$A:$G,4,FALSE)</f>
        <v>27694632</v>
      </c>
      <c r="C9" s="9">
        <f>(Table231112[[#This Row],[2013]]-Table231112[[#This Row],[2012]])/Table231112[[#This Row],[2012]]</f>
        <v>1.1080956049533354E-2</v>
      </c>
      <c r="D9" s="5">
        <f>VLOOKUP(Table231112[[#This Row],[TEOs]],'1.8'!$A:$G,6,FALSE)</f>
        <v>28001515</v>
      </c>
      <c r="E9" s="9">
        <f>(Table231112[[#This Row],[2014]]-Table231112[[#This Row],[2013]])/Table231112[[#This Row],[2013]]</f>
        <v>5.9071685942707671E-3</v>
      </c>
      <c r="F9" s="5">
        <f>VLOOKUP(Table231112[[#This Row],[Edumis]],[5]ERI!$A:$L,12,FALSE)</f>
        <v>28166924.670000002</v>
      </c>
      <c r="G9" s="83">
        <f>VLOOKUP(Table231112[[#This Row],[TEOs]],'1.1'!$A:$F,6,FALSE)</f>
        <v>7005</v>
      </c>
    </row>
    <row r="10" spans="1:9" x14ac:dyDescent="0.2">
      <c r="A10" s="4" t="s">
        <v>10</v>
      </c>
      <c r="B10" s="5">
        <f>VLOOKUP(Table231112[[#This Row],[TEOs]],'1.8'!$A:$G,4,FALSE)</f>
        <v>25596211</v>
      </c>
      <c r="C10" s="9">
        <f>(Table231112[[#This Row],[2013]]-Table231112[[#This Row],[2012]])/Table231112[[#This Row],[2012]]</f>
        <v>4.3419590501109717E-2</v>
      </c>
      <c r="D10" s="5">
        <f>VLOOKUP(Table231112[[#This Row],[TEOs]],'1.8'!$A:$G,6,FALSE)</f>
        <v>26707588</v>
      </c>
      <c r="E10" s="9">
        <f>(Table231112[[#This Row],[2014]]-Table231112[[#This Row],[2013]])/Table231112[[#This Row],[2013]]</f>
        <v>-1.9370899386346682E-3</v>
      </c>
      <c r="F10" s="5">
        <f>VLOOKUP(Table231112[[#This Row],[Edumis]],[5]ERI!$A:$L,12,FALSE)</f>
        <v>26655853</v>
      </c>
      <c r="G10" s="83">
        <f>VLOOKUP(Table231112[[#This Row],[TEOs]],'1.1'!$A:$F,6,FALSE)</f>
        <v>7006</v>
      </c>
    </row>
    <row r="11" spans="1:9" x14ac:dyDescent="0.2">
      <c r="A11" s="4" t="s">
        <v>9</v>
      </c>
      <c r="B11" s="5">
        <f>VLOOKUP(Table231112[[#This Row],[TEOs]],'1.8'!$A:$G,4,FALSE)</f>
        <v>19922151</v>
      </c>
      <c r="C11" s="9">
        <f>(Table231112[[#This Row],[2013]]-Table231112[[#This Row],[2012]])/Table231112[[#This Row],[2012]]</f>
        <v>9.387138969080196E-3</v>
      </c>
      <c r="D11" s="5">
        <f>VLOOKUP(Table231112[[#This Row],[TEOs]],'1.8'!$A:$G,6,FALSE)</f>
        <v>20109163</v>
      </c>
      <c r="E11" s="9">
        <f>(Table231112[[#This Row],[2014]]-Table231112[[#This Row],[2013]])/Table231112[[#This Row],[2013]]</f>
        <v>-0.12832120362244814</v>
      </c>
      <c r="F11" s="5">
        <f>VLOOKUP(Table231112[[#This Row],[Edumis]],[5]ERI!$A:$L,12,FALSE)</f>
        <v>17528731</v>
      </c>
      <c r="G11" s="83">
        <f>VLOOKUP(Table231112[[#This Row],[TEOs]],'1.1'!$A:$F,6,FALSE)</f>
        <v>7002</v>
      </c>
    </row>
    <row r="12" spans="1:9" x14ac:dyDescent="0.2">
      <c r="A12" s="4" t="s">
        <v>11</v>
      </c>
      <c r="B12" s="5">
        <f>VLOOKUP(Table231112[[#This Row],[TEOs]],'1.8'!$A:$G,4,FALSE)</f>
        <v>9211469</v>
      </c>
      <c r="C12" s="9">
        <f>(Table231112[[#This Row],[2013]]-Table231112[[#This Row],[2012]])/Table231112[[#This Row],[2012]]</f>
        <v>-7.2789692936056125E-2</v>
      </c>
      <c r="D12" s="5">
        <f>VLOOKUP(Table231112[[#This Row],[TEOs]],'1.8'!$A:$G,6,FALSE)</f>
        <v>8540969</v>
      </c>
      <c r="E12" s="9">
        <f>(Table231112[[#This Row],[2014]]-Table231112[[#This Row],[2013]])/Table231112[[#This Row],[2013]]</f>
        <v>7.0591638958062017E-2</v>
      </c>
      <c r="F12" s="5">
        <f>VLOOKUP(Table231112[[#This Row],[Edumis]],[5]ERI!$A:$L,12,FALSE)</f>
        <v>9143890</v>
      </c>
      <c r="G12" s="83">
        <f>VLOOKUP(Table231112[[#This Row],[TEOs]],'1.1'!$A:$F,6,FALSE)</f>
        <v>7008</v>
      </c>
    </row>
    <row r="13" spans="1:9" x14ac:dyDescent="0.2">
      <c r="A13" s="4" t="s">
        <v>14</v>
      </c>
      <c r="B13" s="5">
        <f>VLOOKUP(Table231112[[#This Row],[TEOs]],'1.8'!$A:$G,4,FALSE)</f>
        <v>1079582</v>
      </c>
      <c r="C13" s="9">
        <f>(Table231112[[#This Row],[2013]]-Table231112[[#This Row],[2012]])/Table231112[[#This Row],[2012]]</f>
        <v>0.15408185760785192</v>
      </c>
      <c r="D13" s="5">
        <f>VLOOKUP(Table231112[[#This Row],[TEOs]],'1.8'!$A:$G,6,FALSE)</f>
        <v>1245926</v>
      </c>
      <c r="E13" s="9">
        <f>(Table231112[[#This Row],[2014]]-Table231112[[#This Row],[2013]])/Table231112[[#This Row],[2013]]</f>
        <v>-0.15506538911620754</v>
      </c>
      <c r="F13" s="5">
        <f>VLOOKUP(Table231112[[#This Row],[Edumis]],[5]ERI!$A:$L,12,FALSE)</f>
        <v>1052726</v>
      </c>
      <c r="G13" s="83">
        <f>VLOOKUP(Table231112[[#This Row],[TEOs]],'1.1'!$A:$F,6,FALSE)</f>
        <v>6013</v>
      </c>
    </row>
    <row r="14" spans="1:9" x14ac:dyDescent="0.2">
      <c r="A14" s="4" t="s">
        <v>12</v>
      </c>
      <c r="B14" s="5">
        <f>VLOOKUP(Table231112[[#This Row],[TEOs]],'1.8'!$A:$G,4,FALSE)</f>
        <v>294863</v>
      </c>
      <c r="C14" s="9">
        <f>(Table231112[[#This Row],[2013]]-Table231112[[#This Row],[2012]])/Table231112[[#This Row],[2012]]</f>
        <v>-0.23919582992779698</v>
      </c>
      <c r="D14" s="5">
        <f>VLOOKUP(Table231112[[#This Row],[TEOs]],'1.8'!$A:$G,6,FALSE)</f>
        <v>224333</v>
      </c>
      <c r="E14" s="9">
        <f>(Table231112[[#This Row],[2014]]-Table231112[[#This Row],[2013]])/Table231112[[#This Row],[2013]]</f>
        <v>-9.4592369379449315E-2</v>
      </c>
      <c r="F14" s="5">
        <f>VLOOKUP(Table231112[[#This Row],[Edumis]],[5]ERI!$A:$L,12,FALSE)</f>
        <v>203112.81</v>
      </c>
      <c r="G14" s="83">
        <f>VLOOKUP(Table231112[[#This Row],[TEOs]],'1.1'!$A:$F,6,FALSE)</f>
        <v>6004</v>
      </c>
    </row>
    <row r="15" spans="1:9" x14ac:dyDescent="0.2">
      <c r="A15" s="4" t="s">
        <v>19</v>
      </c>
      <c r="B15" s="5">
        <f>VLOOKUP(Table231112[[#This Row],[TEOs]],'1.8'!$A:$G,4,FALSE)</f>
        <v>291589.12</v>
      </c>
      <c r="C15" s="9">
        <f>(Table231112[[#This Row],[2013]]-Table231112[[#This Row],[2012]])/Table231112[[#This Row],[2012]]</f>
        <v>0.14096523903223823</v>
      </c>
      <c r="D15" s="5">
        <f>VLOOKUP(Table231112[[#This Row],[TEOs]],'1.8'!$A:$G,6,FALSE)</f>
        <v>332693.05</v>
      </c>
      <c r="E15" s="9">
        <f>(Table231112[[#This Row],[2014]]-Table231112[[#This Row],[2013]])/Table231112[[#This Row],[2013]]</f>
        <v>-0.41493517823711673</v>
      </c>
      <c r="F15" s="5">
        <f>VLOOKUP(Table231112[[#This Row],[Edumis]],[5]ERI!$A:$L,12,FALSE)</f>
        <v>194647</v>
      </c>
      <c r="G15" s="83">
        <f>VLOOKUP(Table231112[[#This Row],[TEOs]],'1.1'!$A:$F,6,FALSE)</f>
        <v>6007</v>
      </c>
    </row>
    <row r="16" spans="1:9" x14ac:dyDescent="0.2">
      <c r="A16" s="4" t="s">
        <v>42</v>
      </c>
      <c r="B16" s="5">
        <f>VLOOKUP(Table231112[[#This Row],[TEOs]],'1.8'!$A:$G,4,FALSE)</f>
        <v>53142.01</v>
      </c>
      <c r="C16" s="9">
        <f>(Table231112[[#This Row],[2013]]-Table231112[[#This Row],[2012]])/Table231112[[#This Row],[2012]]</f>
        <v>0.60708392475181117</v>
      </c>
      <c r="D16" s="5">
        <f>VLOOKUP(Table231112[[#This Row],[TEOs]],'1.8'!$A:$G,6,FALSE)</f>
        <v>85403.67</v>
      </c>
      <c r="E16" s="9">
        <f>(Table231112[[#This Row],[2014]]-Table231112[[#This Row],[2013]])/Table231112[[#This Row],[2013]]</f>
        <v>1.26766390718338</v>
      </c>
      <c r="F16" s="5">
        <f>VLOOKUP(Table231112[[#This Row],[Edumis]],[5]ERI!$A:$L,12,FALSE)</f>
        <v>193666.82</v>
      </c>
      <c r="G16" s="83">
        <f>VLOOKUP(Table231112[[#This Row],[TEOs]],'1.1'!$A:$F,6,FALSE)</f>
        <v>8396</v>
      </c>
    </row>
    <row r="17" spans="1:7" x14ac:dyDescent="0.2">
      <c r="A17" s="4" t="s">
        <v>41</v>
      </c>
      <c r="B17" s="5">
        <f>VLOOKUP(Table231112[[#This Row],[TEOs]],'1.8'!$A:$G,4,FALSE)</f>
        <v>435363</v>
      </c>
      <c r="C17" s="9">
        <f>(Table231112[[#This Row],[2013]]-Table231112[[#This Row],[2012]])/Table231112[[#This Row],[2012]]</f>
        <v>-0.67743469242907639</v>
      </c>
      <c r="D17" s="5">
        <f>VLOOKUP(Table231112[[#This Row],[TEOs]],'1.8'!$A:$G,6,FALSE)</f>
        <v>140433</v>
      </c>
      <c r="E17" s="9">
        <f>(Table231112[[#This Row],[2014]]-Table231112[[#This Row],[2013]])/Table231112[[#This Row],[2013]]</f>
        <v>8.1173940598008414E-3</v>
      </c>
      <c r="F17" s="5">
        <f>VLOOKUP(Table231112[[#This Row],[Edumis]],[5]ERI!$A:$L,12,FALSE)</f>
        <v>141572.95000000001</v>
      </c>
      <c r="G17" s="83">
        <f>VLOOKUP(Table231112[[#This Row],[TEOs]],'1.1'!$A:$F,6,FALSE)</f>
        <v>6008</v>
      </c>
    </row>
    <row r="18" spans="1:7" x14ac:dyDescent="0.2">
      <c r="A18" s="4" t="s">
        <v>24</v>
      </c>
      <c r="B18" s="5">
        <f>VLOOKUP(Table231112[[#This Row],[TEOs]],'1.8'!$A:$G,4,FALSE)</f>
        <v>72539</v>
      </c>
      <c r="C18" s="9">
        <f>(Table231112[[#This Row],[2013]]-Table231112[[#This Row],[2012]])/Table231112[[#This Row],[2012]]</f>
        <v>-0.54162588400722367</v>
      </c>
      <c r="D18" s="5">
        <f>VLOOKUP(Table231112[[#This Row],[TEOs]],'1.8'!$A:$G,6,FALSE)</f>
        <v>33250</v>
      </c>
      <c r="E18" s="9">
        <f>(Table231112[[#This Row],[2014]]-Table231112[[#This Row],[2013]])/Table231112[[#This Row],[2013]]</f>
        <v>2.3082706766917291</v>
      </c>
      <c r="F18" s="5">
        <f>VLOOKUP(Table231112[[#This Row],[Edumis]],[5]ERI!$A:$L,12,FALSE)</f>
        <v>110000</v>
      </c>
      <c r="G18" s="83">
        <f>VLOOKUP(Table231112[[#This Row],[TEOs]],'1.1'!$A:$F,6,FALSE)</f>
        <v>8694</v>
      </c>
    </row>
    <row r="19" spans="1:7" x14ac:dyDescent="0.2">
      <c r="A19" s="4" t="s">
        <v>15</v>
      </c>
      <c r="B19" s="5">
        <f>VLOOKUP(Table231112[[#This Row],[TEOs]],'1.8'!$A:$G,4,FALSE)</f>
        <v>69854</v>
      </c>
      <c r="C19" s="9">
        <f>(Table231112[[#This Row],[2013]]-Table231112[[#This Row],[2012]])/Table231112[[#This Row],[2012]]</f>
        <v>-1</v>
      </c>
      <c r="D19" s="5">
        <f>VLOOKUP(Table231112[[#This Row],[TEOs]],'1.8'!$A:$G,6,FALSE)</f>
        <v>0</v>
      </c>
      <c r="E19" s="9">
        <v>0</v>
      </c>
      <c r="F19" s="5">
        <f>VLOOKUP(Table231112[[#This Row],[Edumis]],[5]ERI!$A:$L,12,FALSE)</f>
        <v>101366</v>
      </c>
      <c r="G19" s="83">
        <f>VLOOKUP(Table231112[[#This Row],[TEOs]],'1.1'!$A:$F,6,FALSE)</f>
        <v>6010</v>
      </c>
    </row>
    <row r="20" spans="1:7" x14ac:dyDescent="0.2">
      <c r="A20" s="4" t="s">
        <v>20</v>
      </c>
      <c r="B20" s="5">
        <f>VLOOKUP(Table231112[[#This Row],[TEOs]],'1.8'!$A:$G,4,FALSE)</f>
        <v>175003</v>
      </c>
      <c r="C20" s="9">
        <f>(Table231112[[#This Row],[2013]]-Table231112[[#This Row],[2012]])/Table231112[[#This Row],[2012]]</f>
        <v>-0.66137151934538263</v>
      </c>
      <c r="D20" s="5">
        <f>VLOOKUP(Table231112[[#This Row],[TEOs]],'1.8'!$A:$G,6,FALSE)</f>
        <v>59261</v>
      </c>
      <c r="E20" s="9">
        <f>(Table231112[[#This Row],[2014]]-Table231112[[#This Row],[2013]])/Table231112[[#This Row],[2013]]</f>
        <v>0.35971380840687806</v>
      </c>
      <c r="F20" s="5">
        <f>VLOOKUP(Table231112[[#This Row],[Edumis]],[5]ERI!$A:$L,12,FALSE)</f>
        <v>80578</v>
      </c>
      <c r="G20" s="83">
        <f>VLOOKUP(Table231112[[#This Row],[TEOs]],'1.1'!$A:$F,6,FALSE)</f>
        <v>6014</v>
      </c>
    </row>
    <row r="21" spans="1:7" x14ac:dyDescent="0.2">
      <c r="A21" s="4" t="s">
        <v>13</v>
      </c>
      <c r="B21" s="5">
        <f>VLOOKUP(Table231112[[#This Row],[TEOs]],'1.8'!$A:$G,4,FALSE)</f>
        <v>232672</v>
      </c>
      <c r="C21" s="9">
        <f>(Table231112[[#This Row],[2013]]-Table231112[[#This Row],[2012]])/Table231112[[#This Row],[2012]]</f>
        <v>-0.14857395819007013</v>
      </c>
      <c r="D21" s="5">
        <f>VLOOKUP(Table231112[[#This Row],[TEOs]],'1.8'!$A:$G,6,FALSE)</f>
        <v>198103</v>
      </c>
      <c r="E21" s="9">
        <f>(Table231112[[#This Row],[2014]]-Table231112[[#This Row],[2013]])/Table231112[[#This Row],[2013]]</f>
        <v>-0.64622948668117086</v>
      </c>
      <c r="F21" s="5">
        <f>VLOOKUP(Table231112[[#This Row],[Edumis]],[5]ERI!$A:$L,12,FALSE)</f>
        <v>70083</v>
      </c>
      <c r="G21" s="83">
        <f>VLOOKUP(Table231112[[#This Row],[TEOs]],'1.1'!$A:$F,6,FALSE)</f>
        <v>6019</v>
      </c>
    </row>
    <row r="22" spans="1:7" x14ac:dyDescent="0.2">
      <c r="A22" s="4" t="s">
        <v>16</v>
      </c>
      <c r="B22" s="5">
        <f>VLOOKUP(Table231112[[#This Row],[TEOs]],'1.8'!$A:$G,4,FALSE)</f>
        <v>152629</v>
      </c>
      <c r="C22" s="9">
        <f>(Table231112[[#This Row],[2013]]-Table231112[[#This Row],[2012]])/Table231112[[#This Row],[2012]]</f>
        <v>-0.64287913830268162</v>
      </c>
      <c r="D22" s="5">
        <f>VLOOKUP(Table231112[[#This Row],[TEOs]],'1.8'!$A:$G,6,FALSE)</f>
        <v>54507</v>
      </c>
      <c r="E22" s="9">
        <f>(Table231112[[#This Row],[2014]]-Table231112[[#This Row],[2013]])/Table231112[[#This Row],[2013]]</f>
        <v>0.22811748949676189</v>
      </c>
      <c r="F22" s="5">
        <f>VLOOKUP(Table231112[[#This Row],[Edumis]],[5]ERI!$A:$L,12,FALSE)</f>
        <v>66941</v>
      </c>
      <c r="G22" s="83">
        <f>VLOOKUP(Table231112[[#This Row],[TEOs]],'1.1'!$A:$F,6,FALSE)</f>
        <v>6006</v>
      </c>
    </row>
    <row r="23" spans="1:7" x14ac:dyDescent="0.2">
      <c r="A23" s="18" t="s">
        <v>40</v>
      </c>
      <c r="B23" s="5">
        <f>VLOOKUP(Table231112[[#This Row],[TEOs]],'1.8'!$A:$G,4,FALSE)</f>
        <v>783390</v>
      </c>
      <c r="C23" s="9">
        <f>(Table231112[[#This Row],[2013]]-Table231112[[#This Row],[2012]])/Table231112[[#This Row],[2012]]</f>
        <v>-0.65216175851108649</v>
      </c>
      <c r="D23" s="5">
        <f>VLOOKUP(Table231112[[#This Row],[TEOs]],'1.8'!$A:$G,6,FALSE)</f>
        <v>272493</v>
      </c>
      <c r="E23" s="9">
        <f>(Table231112[[#This Row],[2014]]-Table231112[[#This Row],[2013]])/Table231112[[#This Row],[2013]]</f>
        <v>-0.86204144693625162</v>
      </c>
      <c r="F23" s="5">
        <f>VLOOKUP(Table231112[[#This Row],[Edumis]],[5]ERI!$A:$L,12,FALSE)</f>
        <v>37592.74</v>
      </c>
      <c r="G23" s="83">
        <f>VLOOKUP(Table231112[[#This Row],[TEOs]],'1.1'!$A:$F,6,FALSE)</f>
        <v>9386</v>
      </c>
    </row>
    <row r="24" spans="1:7" x14ac:dyDescent="0.2">
      <c r="A24" s="4" t="s">
        <v>43</v>
      </c>
      <c r="B24" s="5">
        <f>VLOOKUP(Table231112[[#This Row],[TEOs]],'1.8'!$A:$G,4,FALSE)</f>
        <v>8802</v>
      </c>
      <c r="C24" s="9">
        <f>(Table231112[[#This Row],[2013]]-Table231112[[#This Row],[2012]])/Table231112[[#This Row],[2012]]</f>
        <v>2.9882981140649854</v>
      </c>
      <c r="D24" s="5">
        <f>VLOOKUP(Table231112[[#This Row],[TEOs]],'1.8'!$A:$G,6,FALSE)</f>
        <v>35105</v>
      </c>
      <c r="E24" s="9">
        <f>(Table231112[[#This Row],[2014]]-Table231112[[#This Row],[2013]])/Table231112[[#This Row],[2013]]</f>
        <v>-0.29890329012961114</v>
      </c>
      <c r="F24" s="5">
        <f>VLOOKUP(Table231112[[#This Row],[Edumis]],[5]ERI!$A:$L,12,FALSE)</f>
        <v>24612</v>
      </c>
      <c r="G24" s="83">
        <f>VLOOKUP(Table231112[[#This Row],[TEOs]],'1.1'!$A:$F,6,FALSE)</f>
        <v>8619</v>
      </c>
    </row>
    <row r="25" spans="1:7" x14ac:dyDescent="0.2">
      <c r="A25" s="4" t="s">
        <v>18</v>
      </c>
      <c r="B25" s="5">
        <f>VLOOKUP(Table231112[[#This Row],[TEOs]],'1.8'!$A:$G,4,FALSE)</f>
        <v>47028.51</v>
      </c>
      <c r="C25" s="9">
        <f>(Table231112[[#This Row],[2013]]-Table231112[[#This Row],[2012]])/Table231112[[#This Row],[2012]]</f>
        <v>-0.94110147227713581</v>
      </c>
      <c r="D25" s="5">
        <f>VLOOKUP(Table231112[[#This Row],[TEOs]],'1.8'!$A:$G,6,FALSE)</f>
        <v>2769.91</v>
      </c>
      <c r="E25" s="9">
        <f>(Table231112[[#This Row],[2014]]-Table231112[[#This Row],[2013]])/Table231112[[#This Row],[2013]]</f>
        <v>6.6193811351271341</v>
      </c>
      <c r="F25" s="5">
        <f>VLOOKUP(Table231112[[#This Row],[Edumis]],[5]ERI!$A:$L,12,FALSE)</f>
        <v>21105</v>
      </c>
      <c r="G25" s="83">
        <f>VLOOKUP(Table231112[[#This Row],[TEOs]],'1.1'!$A:$F,6,FALSE)</f>
        <v>6022</v>
      </c>
    </row>
    <row r="26" spans="1:7" x14ac:dyDescent="0.2">
      <c r="A26" s="4" t="s">
        <v>21</v>
      </c>
      <c r="B26" s="5">
        <f>VLOOKUP(Table231112[[#This Row],[TEOs]],'1.8'!$A:$G,4,FALSE)</f>
        <v>41951.74</v>
      </c>
      <c r="C26" s="9">
        <f>(Table231112[[#This Row],[2013]]-Table231112[[#This Row],[2012]])/Table231112[[#This Row],[2012]]</f>
        <v>-0.44850916791532364</v>
      </c>
      <c r="D26" s="5">
        <f>VLOOKUP(Table231112[[#This Row],[TEOs]],'1.8'!$A:$G,6,FALSE)</f>
        <v>23136</v>
      </c>
      <c r="E26" s="9">
        <f>(Table231112[[#This Row],[2014]]-Table231112[[#This Row],[2013]])/Table231112[[#This Row],[2013]]</f>
        <v>-1</v>
      </c>
      <c r="F26" s="5">
        <v>0</v>
      </c>
      <c r="G26" s="83">
        <f>VLOOKUP(Table231112[[#This Row],[TEOs]],'1.1'!$A:$F,6,FALSE)</f>
        <v>8563</v>
      </c>
    </row>
    <row r="27" spans="1:7" x14ac:dyDescent="0.2">
      <c r="A27" s="4" t="s">
        <v>22</v>
      </c>
      <c r="B27" s="5">
        <f>VLOOKUP(Table231112[[#This Row],[TEOs]],'1.8'!$A:$G,4,FALSE)</f>
        <v>8505</v>
      </c>
      <c r="C27" s="9">
        <f>(Table231112[[#This Row],[2013]]-Table231112[[#This Row],[2012]])/Table231112[[#This Row],[2012]]</f>
        <v>-0.41211052322163433</v>
      </c>
      <c r="D27" s="5">
        <f>VLOOKUP(Table231112[[#This Row],[TEOs]],'1.8'!$A:$G,6,FALSE)</f>
        <v>5000</v>
      </c>
      <c r="E27" s="9">
        <f>(Table231112[[#This Row],[2014]]-Table231112[[#This Row],[2013]])/Table231112[[#This Row],[2013]]</f>
        <v>-1</v>
      </c>
      <c r="F27" s="5">
        <v>0</v>
      </c>
      <c r="G27" s="83">
        <f>VLOOKUP(Table231112[[#This Row],[TEOs]],'1.1'!$A:$F,6,FALSE)</f>
        <v>6012</v>
      </c>
    </row>
    <row r="28" spans="1:7" x14ac:dyDescent="0.2">
      <c r="A28" s="7" t="s">
        <v>27</v>
      </c>
      <c r="B28" s="6">
        <f>SUBTOTAL(109,B5:B27)</f>
        <v>410693239.78999996</v>
      </c>
      <c r="C28" s="14">
        <f>(Table231112[[#This Row],[2013]]-Table231112[[#This Row],[2012]])/Table231112[[#This Row],[2012]]</f>
        <v>-3.3689647477700722E-2</v>
      </c>
      <c r="D28" s="6">
        <f>SUBTOTAL(109,D5:D27)</f>
        <v>396857129.32000005</v>
      </c>
      <c r="E28" s="14">
        <f>(Table231112[[#This Row],[2014]]-Table231112[[#This Row],[2013]])/Table231112[[#This Row],[2013]]</f>
        <v>3.2769592166287102E-2</v>
      </c>
      <c r="F28" s="6">
        <f>SUM(F5:F27)</f>
        <v>409861975.59609991</v>
      </c>
      <c r="G28" s="83"/>
    </row>
    <row r="31" spans="1:7" x14ac:dyDescent="0.2">
      <c r="B31" s="19"/>
      <c r="C31" s="19"/>
      <c r="D31" s="19"/>
      <c r="E31" s="19"/>
      <c r="F31" s="19"/>
    </row>
    <row r="32" spans="1:7" x14ac:dyDescent="0.2">
      <c r="F32" s="19"/>
    </row>
  </sheetData>
  <pageMargins left="0.70866141732283472" right="0.70866141732283472" top="0.74803149606299213" bottom="0.74803149606299213" header="0.31496062992125984" footer="0.31496062992125984"/>
  <pageSetup paperSize="9" scale="95"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2"/>
  <sheetViews>
    <sheetView workbookViewId="0">
      <selection activeCell="A5" sqref="A5:A31"/>
    </sheetView>
  </sheetViews>
  <sheetFormatPr defaultRowHeight="15" x14ac:dyDescent="0.2"/>
  <cols>
    <col min="1" max="1" width="30.88671875" bestFit="1" customWidth="1"/>
    <col min="2" max="5" width="12.88671875" customWidth="1"/>
    <col min="9" max="9" width="12" bestFit="1" customWidth="1"/>
    <col min="10" max="10" width="13.33203125" customWidth="1"/>
  </cols>
  <sheetData>
    <row r="2" spans="1:11" ht="15.75" x14ac:dyDescent="0.25">
      <c r="A2" s="1" t="s">
        <v>175</v>
      </c>
      <c r="F2" s="2" t="s">
        <v>0</v>
      </c>
    </row>
    <row r="4" spans="1:11" ht="32.25" customHeight="1" x14ac:dyDescent="0.2">
      <c r="A4" s="3" t="s">
        <v>2</v>
      </c>
      <c r="B4" s="3" t="s">
        <v>93</v>
      </c>
      <c r="C4" s="3" t="s">
        <v>176</v>
      </c>
      <c r="D4" s="3" t="s">
        <v>30</v>
      </c>
      <c r="E4" s="3" t="s">
        <v>31</v>
      </c>
      <c r="H4" s="61"/>
      <c r="I4" s="61"/>
      <c r="J4" s="61"/>
      <c r="K4" s="61"/>
    </row>
    <row r="5" spans="1:11" x14ac:dyDescent="0.2">
      <c r="A5" s="4" t="s">
        <v>6</v>
      </c>
      <c r="B5" s="5">
        <f>VLOOKUP(Table23578913[[#This Row],[TEOs]],'[2]1.1'!$A:$C,3,FALSE)</f>
        <v>14396797.869999999</v>
      </c>
      <c r="C5" s="5">
        <f>VLOOKUP(Table23578913[[#This Row],[TEOs]],'1.1'!$A:$F,3,FALSE)</f>
        <v>14746241.048604047</v>
      </c>
      <c r="D5" s="10">
        <f>Table23578913[[#This Row],[ERI Final
2015]]-Table23578913[[#This Row],[ERI Final
2014]]</f>
        <v>349443.17860404775</v>
      </c>
      <c r="E5" s="9">
        <f>Table23578913[[#This Row],[Change($)]]/Table23578913[[#This Row],[ERI Final
2014]]</f>
        <v>2.4272284834408651E-2</v>
      </c>
      <c r="H5" s="61"/>
      <c r="I5" s="61"/>
      <c r="J5" s="61"/>
      <c r="K5" s="61"/>
    </row>
    <row r="6" spans="1:11" x14ac:dyDescent="0.2">
      <c r="A6" s="4" t="s">
        <v>38</v>
      </c>
      <c r="B6" s="5">
        <f>VLOOKUP(Table23578913[[#This Row],[TEOs]],'[2]1.1'!$A:$C,3,FALSE)</f>
        <v>9079393.9600000009</v>
      </c>
      <c r="C6" s="5">
        <f>VLOOKUP(Table23578913[[#This Row],[TEOs]],'1.1'!$A:$F,3,FALSE)</f>
        <v>9418994.1691085491</v>
      </c>
      <c r="D6" s="10">
        <f>Table23578913[[#This Row],[ERI Final
2015]]-Table23578913[[#This Row],[ERI Final
2014]]</f>
        <v>339600.20910854824</v>
      </c>
      <c r="E6" s="9">
        <f>Table23578913[[#This Row],[Change($)]]/Table23578913[[#This Row],[ERI Final
2014]]</f>
        <v>3.7403400557865889E-2</v>
      </c>
      <c r="H6" s="61"/>
      <c r="I6" s="62"/>
      <c r="J6" s="62"/>
      <c r="K6" s="61"/>
    </row>
    <row r="7" spans="1:11" x14ac:dyDescent="0.2">
      <c r="A7" s="4" t="s">
        <v>7</v>
      </c>
      <c r="B7" s="5">
        <f>VLOOKUP(Table23578913[[#This Row],[TEOs]],'[2]1.1'!$A:$C,3,FALSE)</f>
        <v>5530177.1900000004</v>
      </c>
      <c r="C7" s="5">
        <f>VLOOKUP(Table23578913[[#This Row],[TEOs]],'1.1'!$A:$F,3,FALSE)</f>
        <v>6005361.4742061999</v>
      </c>
      <c r="D7" s="10">
        <f>Table23578913[[#This Row],[ERI Final
2015]]-Table23578913[[#This Row],[ERI Final
2014]]</f>
        <v>475184.28420619946</v>
      </c>
      <c r="E7" s="9">
        <f>Table23578913[[#This Row],[Change($)]]/Table23578913[[#This Row],[ERI Final
2014]]</f>
        <v>8.5925688794466895E-2</v>
      </c>
      <c r="H7" s="61"/>
      <c r="I7" s="62"/>
      <c r="J7" s="62"/>
      <c r="K7" s="61"/>
    </row>
    <row r="8" spans="1:11" x14ac:dyDescent="0.2">
      <c r="A8" s="4" t="s">
        <v>8</v>
      </c>
      <c r="B8" s="5">
        <f>VLOOKUP(Table23578913[[#This Row],[TEOs]],'[2]1.1'!$A:$C,3,FALSE)</f>
        <v>3683009.02</v>
      </c>
      <c r="C8" s="5">
        <f>VLOOKUP(Table23578913[[#This Row],[TEOs]],'1.1'!$A:$F,3,FALSE)</f>
        <v>3742174.8853331646</v>
      </c>
      <c r="D8" s="10">
        <f>Table23578913[[#This Row],[ERI Final
2015]]-Table23578913[[#This Row],[ERI Final
2014]]</f>
        <v>59165.865333164576</v>
      </c>
      <c r="E8" s="9">
        <f>Table23578913[[#This Row],[Change($)]]/Table23578913[[#This Row],[ERI Final
2014]]</f>
        <v>1.6064545324725971E-2</v>
      </c>
      <c r="H8" s="61"/>
      <c r="I8" s="62"/>
      <c r="J8" s="62"/>
      <c r="K8" s="61"/>
    </row>
    <row r="9" spans="1:11" x14ac:dyDescent="0.2">
      <c r="A9" s="4" t="s">
        <v>37</v>
      </c>
      <c r="B9" s="5">
        <f>VLOOKUP(Table23578913[[#This Row],[TEOs]],'[2]1.1'!$A:$C,3,FALSE)</f>
        <v>2750158.34</v>
      </c>
      <c r="C9" s="5">
        <f>VLOOKUP(Table23578913[[#This Row],[TEOs]],'1.1'!$A:$F,3,FALSE)</f>
        <v>2971497.6501904209</v>
      </c>
      <c r="D9" s="10">
        <f>Table23578913[[#This Row],[ERI Final
2015]]-Table23578913[[#This Row],[ERI Final
2014]]</f>
        <v>221339.31019042106</v>
      </c>
      <c r="E9" s="9">
        <f>Table23578913[[#This Row],[Change($)]]/Table23578913[[#This Row],[ERI Final
2014]]</f>
        <v>8.0482387857864601E-2</v>
      </c>
      <c r="H9" s="61"/>
      <c r="I9" s="62"/>
      <c r="J9" s="62"/>
      <c r="K9" s="61"/>
    </row>
    <row r="10" spans="1:11" x14ac:dyDescent="0.2">
      <c r="A10" s="4" t="s">
        <v>10</v>
      </c>
      <c r="B10" s="5">
        <f>VLOOKUP(Table23578913[[#This Row],[TEOs]],'[2]1.1'!$A:$C,3,FALSE)</f>
        <v>2527985.92</v>
      </c>
      <c r="C10" s="5">
        <f>VLOOKUP(Table23578913[[#This Row],[TEOs]],'1.1'!$A:$F,3,FALSE)</f>
        <v>2790167.5918633281</v>
      </c>
      <c r="D10" s="10">
        <f>Table23578913[[#This Row],[ERI Final
2015]]-Table23578913[[#This Row],[ERI Final
2014]]</f>
        <v>262181.6718633282</v>
      </c>
      <c r="E10" s="9">
        <f>Table23578913[[#This Row],[Change($)]]/Table23578913[[#This Row],[ERI Final
2014]]</f>
        <v>0.10371168201100116</v>
      </c>
      <c r="H10" s="61"/>
      <c r="I10" s="62"/>
      <c r="J10" s="62"/>
      <c r="K10" s="61"/>
    </row>
    <row r="11" spans="1:11" x14ac:dyDescent="0.2">
      <c r="A11" s="4" t="s">
        <v>9</v>
      </c>
      <c r="B11" s="5">
        <f>VLOOKUP(Table23578913[[#This Row],[TEOs]],'[2]1.1'!$A:$C,3,FALSE)</f>
        <v>2010110.3</v>
      </c>
      <c r="C11" s="5">
        <f>VLOOKUP(Table23578913[[#This Row],[TEOs]],'1.1'!$A:$F,3,FALSE)</f>
        <v>2148918.2729303818</v>
      </c>
      <c r="D11" s="10">
        <f>Table23578913[[#This Row],[ERI Final
2015]]-Table23578913[[#This Row],[ERI Final
2014]]</f>
        <v>138807.97293038177</v>
      </c>
      <c r="E11" s="9">
        <f>Table23578913[[#This Row],[Change($)]]/Table23578913[[#This Row],[ERI Final
2014]]</f>
        <v>6.9054903569411977E-2</v>
      </c>
      <c r="H11" s="61"/>
      <c r="I11" s="61"/>
      <c r="J11" s="61"/>
      <c r="K11" s="61"/>
    </row>
    <row r="12" spans="1:11" x14ac:dyDescent="0.2">
      <c r="A12" s="4" t="s">
        <v>11</v>
      </c>
      <c r="B12" s="5">
        <f>VLOOKUP(Table23578913[[#This Row],[TEOs]],'[2]1.1'!$A:$C,3,FALSE)</f>
        <v>884007.91</v>
      </c>
      <c r="C12" s="5">
        <f>VLOOKUP(Table23578913[[#This Row],[TEOs]],'1.1'!$A:$F,3,FALSE)</f>
        <v>952935.59593882947</v>
      </c>
      <c r="D12" s="10">
        <f>Table23578913[[#This Row],[ERI Final
2015]]-Table23578913[[#This Row],[ERI Final
2014]]</f>
        <v>68927.68593882944</v>
      </c>
      <c r="E12" s="9">
        <f>Table23578913[[#This Row],[Change($)]]/Table23578913[[#This Row],[ERI Final
2014]]</f>
        <v>7.7971797717092187E-2</v>
      </c>
      <c r="H12" s="61"/>
      <c r="I12" s="63"/>
      <c r="J12" s="63"/>
      <c r="K12" s="61"/>
    </row>
    <row r="13" spans="1:11" x14ac:dyDescent="0.2">
      <c r="A13" s="4" t="s">
        <v>14</v>
      </c>
      <c r="B13" s="5">
        <f>VLOOKUP(Table23578913[[#This Row],[TEOs]],'[2]1.1'!$A:$C,3,FALSE)</f>
        <v>110896.51</v>
      </c>
      <c r="C13" s="5">
        <f>VLOOKUP(Table23578913[[#This Row],[TEOs]],'1.1'!$A:$F,3,FALSE)</f>
        <v>124965.80352409312</v>
      </c>
      <c r="D13" s="10">
        <f>Table23578913[[#This Row],[ERI Final
2015]]-Table23578913[[#This Row],[ERI Final
2014]]</f>
        <v>14069.293524093126</v>
      </c>
      <c r="E13" s="9">
        <f>Table23578913[[#This Row],[Change($)]]/Table23578913[[#This Row],[ERI Final
2014]]</f>
        <v>0.12686867714856964</v>
      </c>
      <c r="H13" s="61"/>
      <c r="I13" s="63"/>
      <c r="J13" s="63"/>
      <c r="K13" s="61"/>
    </row>
    <row r="14" spans="1:11" x14ac:dyDescent="0.2">
      <c r="A14" s="18" t="s">
        <v>40</v>
      </c>
      <c r="B14" s="5">
        <f>VLOOKUP(Table23578913[[#This Row],[TEOs]],'[2]1.1'!$A:$C,3,FALSE)</f>
        <v>87473.1</v>
      </c>
      <c r="C14" s="5">
        <f>VLOOKUP(Table23578913[[#This Row],[TEOs]],'1.1'!$A:$F,3,FALSE)</f>
        <v>59869.462520464767</v>
      </c>
      <c r="D14" s="10">
        <f>Table23578913[[#This Row],[ERI Final
2015]]-Table23578913[[#This Row],[ERI Final
2014]]</f>
        <v>-27603.637479535239</v>
      </c>
      <c r="E14" s="9">
        <f>Table23578913[[#This Row],[Change($)]]/Table23578913[[#This Row],[ERI Final
2014]]</f>
        <v>-0.31556715698352106</v>
      </c>
      <c r="H14" s="61"/>
      <c r="I14" s="63"/>
      <c r="J14" s="64"/>
      <c r="K14" s="61"/>
    </row>
    <row r="15" spans="1:11" x14ac:dyDescent="0.2">
      <c r="A15" s="4" t="s">
        <v>41</v>
      </c>
      <c r="B15" s="5">
        <f>VLOOKUP(Table23578913[[#This Row],[TEOs]],'[2]1.1'!$A:$C,3,FALSE)</f>
        <v>45311.43</v>
      </c>
      <c r="C15" s="5">
        <f>VLOOKUP(Table23578913[[#This Row],[TEOs]],'1.1'!$A:$F,3,FALSE)</f>
        <v>32178.756703451727</v>
      </c>
      <c r="D15" s="10">
        <f>Table23578913[[#This Row],[ERI Final
2015]]-Table23578913[[#This Row],[ERI Final
2014]]</f>
        <v>-13132.673296548273</v>
      </c>
      <c r="E15" s="9">
        <f>Table23578913[[#This Row],[Change($)]]/Table23578913[[#This Row],[ERI Final
2014]]</f>
        <v>-0.28983135814844674</v>
      </c>
      <c r="H15" s="61"/>
      <c r="I15" s="63"/>
      <c r="J15" s="63"/>
      <c r="K15" s="61"/>
    </row>
    <row r="16" spans="1:11" x14ac:dyDescent="0.2">
      <c r="A16" s="4" t="s">
        <v>12</v>
      </c>
      <c r="B16" s="5">
        <f>VLOOKUP(Table23578913[[#This Row],[TEOs]],'[2]1.1'!$A:$C,3,FALSE)</f>
        <v>28259.81</v>
      </c>
      <c r="C16" s="5">
        <f>VLOOKUP(Table23578913[[#This Row],[TEOs]],'1.1'!$A:$F,3,FALSE)</f>
        <v>26056.444331724048</v>
      </c>
      <c r="D16" s="10">
        <f>Table23578913[[#This Row],[ERI Final
2015]]-Table23578913[[#This Row],[ERI Final
2014]]</f>
        <v>-2203.3656682759538</v>
      </c>
      <c r="E16" s="9">
        <f>Table23578913[[#This Row],[Change($)]]/Table23578913[[#This Row],[ERI Final
2014]]</f>
        <v>-7.7968169930227899E-2</v>
      </c>
      <c r="H16" s="61"/>
      <c r="I16" s="65"/>
      <c r="J16" s="65"/>
      <c r="K16" s="61"/>
    </row>
    <row r="17" spans="1:11" x14ac:dyDescent="0.2">
      <c r="A17" s="4" t="s">
        <v>19</v>
      </c>
      <c r="B17" s="5">
        <f>VLOOKUP(Table23578913[[#This Row],[TEOs]],'[2]1.1'!$A:$C,3,FALSE)</f>
        <v>25173.32</v>
      </c>
      <c r="C17" s="5">
        <f>VLOOKUP(Table23578913[[#This Row],[TEOs]],'1.1'!$A:$F,3,FALSE)</f>
        <v>31482.144889938118</v>
      </c>
      <c r="D17" s="10">
        <f>Table23578913[[#This Row],[ERI Final
2015]]-Table23578913[[#This Row],[ERI Final
2014]]</f>
        <v>6308.8248899381178</v>
      </c>
      <c r="E17" s="9">
        <f>Table23578913[[#This Row],[Change($)]]/Table23578913[[#This Row],[ERI Final
2014]]</f>
        <v>0.25061552826318173</v>
      </c>
      <c r="H17" s="61"/>
      <c r="I17" s="61"/>
      <c r="J17" s="61"/>
      <c r="K17" s="61"/>
    </row>
    <row r="18" spans="1:11" x14ac:dyDescent="0.2">
      <c r="A18" s="4" t="s">
        <v>20</v>
      </c>
      <c r="B18" s="5">
        <f>VLOOKUP(Table23578913[[#This Row],[TEOs]],'[2]1.1'!$A:$C,3,FALSE)</f>
        <v>20978.23</v>
      </c>
      <c r="C18" s="5">
        <f>VLOOKUP(Table23578913[[#This Row],[TEOs]],'1.1'!$A:$F,3,FALSE)</f>
        <v>13379.578534235723</v>
      </c>
      <c r="D18" s="10">
        <f>Table23578913[[#This Row],[ERI Final
2015]]-Table23578913[[#This Row],[ERI Final
2014]]</f>
        <v>-7598.6514657642765</v>
      </c>
      <c r="E18" s="9">
        <f>Table23578913[[#This Row],[Change($)]]/Table23578913[[#This Row],[ERI Final
2014]]</f>
        <v>-0.36221604328698259</v>
      </c>
    </row>
    <row r="19" spans="1:11" x14ac:dyDescent="0.2">
      <c r="A19" s="4" t="s">
        <v>16</v>
      </c>
      <c r="B19" s="5">
        <f>VLOOKUP(Table23578913[[#This Row],[TEOs]],'[2]1.1'!$A:$C,3,FALSE)</f>
        <v>16985.740000000002</v>
      </c>
      <c r="C19" s="5">
        <f>VLOOKUP(Table23578913[[#This Row],[TEOs]],'1.1'!$A:$F,3,FALSE)</f>
        <v>11067.202354765332</v>
      </c>
      <c r="D19" s="10">
        <f>Table23578913[[#This Row],[ERI Final
2015]]-Table23578913[[#This Row],[ERI Final
2014]]</f>
        <v>-5918.53764523467</v>
      </c>
      <c r="E19" s="9">
        <f>Table23578913[[#This Row],[Change($)]]/Table23578913[[#This Row],[ERI Final
2014]]</f>
        <v>-0.34844155422340561</v>
      </c>
    </row>
    <row r="20" spans="1:11" x14ac:dyDescent="0.2">
      <c r="A20" s="4" t="s">
        <v>13</v>
      </c>
      <c r="B20" s="5">
        <f>VLOOKUP(Table23578913[[#This Row],[TEOs]],'[2]1.1'!$A:$C,3,FALSE)</f>
        <v>14945.35</v>
      </c>
      <c r="C20" s="5">
        <f>VLOOKUP(Table23578913[[#This Row],[TEOs]],'1.1'!$A:$F,3,FALSE)</f>
        <v>20666.915496772344</v>
      </c>
      <c r="D20" s="10">
        <f>Table23578913[[#This Row],[ERI Final
2015]]-Table23578913[[#This Row],[ERI Final
2014]]</f>
        <v>5721.565496772344</v>
      </c>
      <c r="E20" s="9">
        <f>Table23578913[[#This Row],[Change($)]]/Table23578913[[#This Row],[ERI Final
2014]]</f>
        <v>0.3828324861426694</v>
      </c>
    </row>
    <row r="21" spans="1:11" x14ac:dyDescent="0.2">
      <c r="A21" s="4" t="s">
        <v>24</v>
      </c>
      <c r="B21" s="5">
        <f>VLOOKUP(Table23578913[[#This Row],[TEOs]],'[2]1.1'!$A:$C,3,FALSE)</f>
        <v>10435.790000000001</v>
      </c>
      <c r="C21" s="5">
        <f>VLOOKUP(Table23578913[[#This Row],[TEOs]],'1.1'!$A:$F,3,FALSE)</f>
        <v>6890.1963061222468</v>
      </c>
      <c r="D21" s="10">
        <f>Table23578913[[#This Row],[ERI Final
2015]]-Table23578913[[#This Row],[ERI Final
2014]]</f>
        <v>-3545.593693877754</v>
      </c>
      <c r="E21" s="9">
        <f>Table23578913[[#This Row],[Change($)]]/Table23578913[[#This Row],[ERI Final
2014]]</f>
        <v>-0.33975326198378403</v>
      </c>
    </row>
    <row r="22" spans="1:11" x14ac:dyDescent="0.2">
      <c r="A22" s="4" t="s">
        <v>15</v>
      </c>
      <c r="B22" s="5">
        <f>VLOOKUP(Table23578913[[#This Row],[TEOs]],'[2]1.1'!$A:$C,3,FALSE)</f>
        <v>9166.82</v>
      </c>
      <c r="C22" s="5">
        <f>VLOOKUP(Table23578913[[#This Row],[TEOs]],'1.1'!$A:$F,3,FALSE)</f>
        <v>4123.0793653531982</v>
      </c>
      <c r="D22" s="10">
        <f>Table23578913[[#This Row],[ERI Final
2015]]-Table23578913[[#This Row],[ERI Final
2014]]</f>
        <v>-5043.7406346468015</v>
      </c>
      <c r="E22" s="9">
        <f>Table23578913[[#This Row],[Change($)]]/Table23578913[[#This Row],[ERI Final
2014]]</f>
        <v>-0.55021704742176691</v>
      </c>
    </row>
    <row r="23" spans="1:11" x14ac:dyDescent="0.2">
      <c r="A23" s="4" t="s">
        <v>18</v>
      </c>
      <c r="B23" s="5">
        <f>VLOOKUP(Table23578913[[#This Row],[TEOs]],'[2]1.1'!$A:$C,3,FALSE)</f>
        <v>8545.06</v>
      </c>
      <c r="C23" s="5">
        <f>VLOOKUP(Table23578913[[#This Row],[TEOs]],'1.1'!$A:$F,3,FALSE)</f>
        <v>4114.7542067011109</v>
      </c>
      <c r="D23" s="10">
        <f>Table23578913[[#This Row],[ERI Final
2015]]-Table23578913[[#This Row],[ERI Final
2014]]</f>
        <v>-4430.3057932988886</v>
      </c>
      <c r="E23" s="9">
        <f>Table23578913[[#This Row],[Change($)]]/Table23578913[[#This Row],[ERI Final
2014]]</f>
        <v>-0.51846397723349968</v>
      </c>
    </row>
    <row r="24" spans="1:11" x14ac:dyDescent="0.2">
      <c r="A24" s="4" t="s">
        <v>42</v>
      </c>
      <c r="B24" s="5">
        <f>VLOOKUP(Table23578913[[#This Row],[TEOs]],'[2]1.1'!$A:$C,3,FALSE)</f>
        <v>7206.58</v>
      </c>
      <c r="C24" s="5">
        <f>VLOOKUP(Table23578913[[#This Row],[TEOs]],'1.1'!$A:$F,3,FALSE)</f>
        <v>8323.5711252820984</v>
      </c>
      <c r="D24" s="10">
        <f>Table23578913[[#This Row],[ERI Final
2015]]-Table23578913[[#This Row],[ERI Final
2014]]</f>
        <v>1116.9911252820984</v>
      </c>
      <c r="E24" s="9">
        <f>Table23578913[[#This Row],[Change($)]]/Table23578913[[#This Row],[ERI Final
2014]]</f>
        <v>0.15499600716041428</v>
      </c>
    </row>
    <row r="25" spans="1:11" x14ac:dyDescent="0.2">
      <c r="A25" s="4" t="s">
        <v>21</v>
      </c>
      <c r="B25" s="5">
        <f>VLOOKUP(Table23578913[[#This Row],[TEOs]],'[2]1.1'!$A:$C,3,FALSE)</f>
        <v>2110.9</v>
      </c>
      <c r="C25" s="5">
        <f>VLOOKUP(Table23578913[[#This Row],[TEOs]],'1.1'!$A:$F,3,FALSE)</f>
        <v>2803.2381010917302</v>
      </c>
      <c r="D25" s="10">
        <f>Table23578913[[#This Row],[ERI Final
2015]]-Table23578913[[#This Row],[ERI Final
2014]]</f>
        <v>692.3381010917301</v>
      </c>
      <c r="E25" s="9">
        <f>Table23578913[[#This Row],[Change($)]]/Table23578913[[#This Row],[ERI Final
2014]]</f>
        <v>0.32798242507543229</v>
      </c>
    </row>
    <row r="26" spans="1:11" x14ac:dyDescent="0.2">
      <c r="A26" s="4" t="s">
        <v>43</v>
      </c>
      <c r="B26" s="5">
        <f>VLOOKUP(Table23578913[[#This Row],[TEOs]],'[2]1.1'!$A:$C,3,FALSE)</f>
        <v>442.89</v>
      </c>
      <c r="C26" s="5">
        <f>VLOOKUP(Table23578913[[#This Row],[TEOs]],'1.1'!$A:$F,3,FALSE)</f>
        <v>2203.3268151622046</v>
      </c>
      <c r="D26" s="10">
        <f>Table23578913[[#This Row],[ERI Final
2015]]-Table23578913[[#This Row],[ERI Final
2014]]</f>
        <v>1760.4368151622048</v>
      </c>
      <c r="E26" s="9">
        <f>Table23578913[[#This Row],[Change($)]]/Table23578913[[#This Row],[ERI Final
2014]]</f>
        <v>3.9748849943828146</v>
      </c>
    </row>
    <row r="27" spans="1:11" x14ac:dyDescent="0.2">
      <c r="A27" s="4" t="s">
        <v>22</v>
      </c>
      <c r="B27" s="5">
        <f>VLOOKUP(Table23578913[[#This Row],[TEOs]],'[2]1.1'!$A:$C,3,FALSE)</f>
        <v>427.95</v>
      </c>
      <c r="C27" s="5">
        <f>VLOOKUP(Table23578913[[#This Row],[TEOs]],'1.1'!$A:$F,3,FALSE)</f>
        <v>584.83754991662011</v>
      </c>
      <c r="D27" s="10">
        <f>Table23578913[[#This Row],[ERI Final
2015]]-Table23578913[[#This Row],[ERI Final
2014]]</f>
        <v>156.88754991662012</v>
      </c>
      <c r="E27" s="9">
        <f>Table23578913[[#This Row],[Change($)]]/Table23578913[[#This Row],[ERI Final
2014]]</f>
        <v>0.36660252346447042</v>
      </c>
    </row>
    <row r="28" spans="1:11" x14ac:dyDescent="0.2">
      <c r="A28" s="4" t="s">
        <v>23</v>
      </c>
      <c r="B28" s="5">
        <f>VLOOKUP(Table23578913[[#This Row],[TEOs]],'[2]1.1'!$A:$C,3,FALSE)</f>
        <v>0</v>
      </c>
      <c r="C28" s="5">
        <f>VLOOKUP(Table23578913[[#This Row],[TEOs]],'1.1'!$A:$F,3,FALSE)</f>
        <v>0</v>
      </c>
      <c r="D28" s="10">
        <f>Table23578913[[#This Row],[ERI Final
2015]]-Table23578913[[#This Row],[ERI Final
2014]]</f>
        <v>0</v>
      </c>
      <c r="E28" s="9"/>
    </row>
    <row r="29" spans="1:11" x14ac:dyDescent="0.2">
      <c r="A29" s="4" t="s">
        <v>17</v>
      </c>
      <c r="B29" s="5">
        <f>VLOOKUP(Table23578913[[#This Row],[TEOs]],'[2]1.1'!$A:$C,3,FALSE)</f>
        <v>0</v>
      </c>
      <c r="C29" s="5">
        <f>VLOOKUP(Table23578913[[#This Row],[TEOs]],'1.1'!$A:$F,3,FALSE)</f>
        <v>0</v>
      </c>
      <c r="D29" s="10">
        <f>Table23578913[[#This Row],[ERI Final
2015]]-Table23578913[[#This Row],[ERI Final
2014]]</f>
        <v>0</v>
      </c>
      <c r="E29" s="9"/>
    </row>
    <row r="30" spans="1:11" x14ac:dyDescent="0.2">
      <c r="A30" s="4" t="s">
        <v>25</v>
      </c>
      <c r="B30" s="5">
        <f>VLOOKUP(Table23578913[[#This Row],[TEOs]],'[2]1.1'!$A:$C,3,FALSE)</f>
        <v>0</v>
      </c>
      <c r="C30" s="5">
        <f>VLOOKUP(Table23578913[[#This Row],[TEOs]],'1.1'!$A:$F,3,FALSE)</f>
        <v>0</v>
      </c>
      <c r="D30" s="10">
        <f>Table23578913[[#This Row],[ERI Final
2015]]-Table23578913[[#This Row],[ERI Final
2014]]</f>
        <v>0</v>
      </c>
      <c r="E30" s="9"/>
    </row>
    <row r="31" spans="1:11" x14ac:dyDescent="0.2">
      <c r="A31" s="4" t="s">
        <v>26</v>
      </c>
      <c r="B31" s="5">
        <f>VLOOKUP(Table23578913[[#This Row],[TEOs]],'[2]1.1'!$A:$C,3,FALSE)</f>
        <v>0</v>
      </c>
      <c r="C31" s="5">
        <f>VLOOKUP(Table23578913[[#This Row],[TEOs]],'1.1'!$A:$F,3,FALSE)</f>
        <v>0</v>
      </c>
      <c r="D31" s="10">
        <f>Table23578913[[#This Row],[ERI Final
2015]]-Table23578913[[#This Row],[ERI Final
2014]]</f>
        <v>0</v>
      </c>
      <c r="E31" s="9"/>
    </row>
    <row r="32" spans="1:11" x14ac:dyDescent="0.2">
      <c r="A32" s="7" t="s">
        <v>27</v>
      </c>
      <c r="B32" s="96">
        <f>SUBTOTAL(109,B5:B31)</f>
        <v>41249999.989999995</v>
      </c>
      <c r="C32" s="96">
        <f>SUBTOTAL(109,C5:C31)</f>
        <v>43125000.000000007</v>
      </c>
      <c r="D32" s="96">
        <f>SUBTOTAL(109,D5:D31)</f>
        <v>1875000.0099999949</v>
      </c>
      <c r="E32" s="14">
        <f>Table23578913[[#This Row],[Change($)]]/Table23578913[[#This Row],[ERI Final
2014]]</f>
        <v>4.5454545707988861E-2</v>
      </c>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2"/>
  <sheetViews>
    <sheetView topLeftCell="A2" workbookViewId="0">
      <selection activeCell="E37" sqref="E37"/>
    </sheetView>
  </sheetViews>
  <sheetFormatPr defaultRowHeight="15" x14ac:dyDescent="0.2"/>
  <cols>
    <col min="1" max="1" width="30.88671875" bestFit="1" customWidth="1"/>
    <col min="2" max="8" width="10.77734375" customWidth="1"/>
  </cols>
  <sheetData>
    <row r="2" spans="1:8" ht="15.75" x14ac:dyDescent="0.25">
      <c r="A2" s="1" t="s">
        <v>177</v>
      </c>
      <c r="H2" s="2" t="s">
        <v>0</v>
      </c>
    </row>
    <row r="4" spans="1:8" ht="33.75" customHeight="1" x14ac:dyDescent="0.2">
      <c r="A4" s="3" t="s">
        <v>2</v>
      </c>
      <c r="B4" s="3" t="s">
        <v>94</v>
      </c>
      <c r="C4" s="3" t="s">
        <v>178</v>
      </c>
      <c r="D4" s="3" t="s">
        <v>180</v>
      </c>
      <c r="E4" s="3" t="s">
        <v>179</v>
      </c>
      <c r="F4" s="3" t="s">
        <v>34</v>
      </c>
      <c r="G4" s="3" t="s">
        <v>30</v>
      </c>
      <c r="H4" s="3" t="s">
        <v>31</v>
      </c>
    </row>
    <row r="5" spans="1:8" x14ac:dyDescent="0.2">
      <c r="A5" s="4" t="s">
        <v>6</v>
      </c>
      <c r="B5" s="16">
        <f>Table235789131415[[#This Row],[ 2015 Final
 Funding]]/$C$32</f>
        <v>0.34194182141690538</v>
      </c>
      <c r="C5" s="5">
        <f>VLOOKUP(Table235789131415[[#This Row],[TEOs]],'1.1'!$A:$C,3,FALSE)</f>
        <v>14746241.048604047</v>
      </c>
      <c r="D5" s="8">
        <f>Table235789131415[[#This Row],[ 2016 Indicative
 Funding]]/$E$32</f>
        <v>0.34092677706413271</v>
      </c>
      <c r="E5" s="5">
        <f>VLOOKUP(Table235789131415[[#This Row],[TEOs]],'1.4'!$A:$C,3,FALSE)</f>
        <v>20455606.623847958</v>
      </c>
      <c r="F5" s="9">
        <f>Table235789131415[[#This Row],[2016
Ratio]]-Table235789131415[[#This Row],[2015
Ratio]]</f>
        <v>-1.0150443527726649E-3</v>
      </c>
      <c r="G5" s="10">
        <f>Table235789131415[[#This Row],[ 2016 Indicative
 Funding]]-Table235789131415[[#This Row],[ 2015 Final
 Funding]]</f>
        <v>5709365.5752439108</v>
      </c>
      <c r="H5" s="9">
        <f>Table235789131415[[#This Row],[Change($)]]/Table235789131415[[#This Row],[ 2015 Final
 Funding]]</f>
        <v>0.38717430133046604</v>
      </c>
    </row>
    <row r="6" spans="1:8" x14ac:dyDescent="0.2">
      <c r="A6" s="4" t="s">
        <v>38</v>
      </c>
      <c r="B6" s="16">
        <f>Table235789131415[[#This Row],[ 2015 Final
 Funding]]/$C$32</f>
        <v>0.21841145899382139</v>
      </c>
      <c r="C6" s="5">
        <f>VLOOKUP(Table235789131415[[#This Row],[TEOs]],'1.1'!$A:$C,3,FALSE)</f>
        <v>9418994.1691085491</v>
      </c>
      <c r="D6" s="8">
        <f>Table235789131415[[#This Row],[ 2016 Indicative
 Funding]]/$E$32</f>
        <v>0.21673466909020428</v>
      </c>
      <c r="E6" s="5">
        <f>VLOOKUP(Table235789131415[[#This Row],[TEOs]],'1.4'!$A:$C,3,FALSE)</f>
        <v>13004080.145412253</v>
      </c>
      <c r="F6" s="9">
        <f>Table235789131415[[#This Row],[2016
Ratio]]-Table235789131415[[#This Row],[2015
Ratio]]</f>
        <v>-1.6767899036171097E-3</v>
      </c>
      <c r="G6" s="10">
        <f>Table235789131415[[#This Row],[ 2016 Indicative
 Funding]]-Table235789131415[[#This Row],[ 2015 Final
 Funding]]</f>
        <v>3585085.9763037041</v>
      </c>
      <c r="H6" s="9">
        <f>Table235789131415[[#This Row],[Change($)]]/Table235789131415[[#This Row],[ 2015 Final
 Funding]]</f>
        <v>0.3806230168462893</v>
      </c>
    </row>
    <row r="7" spans="1:8" x14ac:dyDescent="0.2">
      <c r="A7" s="4" t="s">
        <v>7</v>
      </c>
      <c r="B7" s="16">
        <f>Table235789131415[[#This Row],[ 2015 Final
 Funding]]/$C$32</f>
        <v>0.13925475882217273</v>
      </c>
      <c r="C7" s="5">
        <f>VLOOKUP(Table235789131415[[#This Row],[TEOs]],'1.1'!$A:$C,3,FALSE)</f>
        <v>6005361.4742061999</v>
      </c>
      <c r="D7" s="8">
        <f>Table235789131415[[#This Row],[ 2016 Indicative
 Funding]]/$E$32</f>
        <v>0.13803717779979902</v>
      </c>
      <c r="E7" s="5">
        <f>VLOOKUP(Table235789131415[[#This Row],[TEOs]],'1.4'!$A:$C,3,FALSE)</f>
        <v>8282230.667987939</v>
      </c>
      <c r="F7" s="9">
        <f>Table235789131415[[#This Row],[2016
Ratio]]-Table235789131415[[#This Row],[2015
Ratio]]</f>
        <v>-1.2175810223737094E-3</v>
      </c>
      <c r="G7" s="10">
        <f>Table235789131415[[#This Row],[ 2016 Indicative
 Funding]]-Table235789131415[[#This Row],[ 2015 Final
 Funding]]</f>
        <v>2276869.1937817391</v>
      </c>
      <c r="H7" s="9">
        <f>Table235789131415[[#This Row],[Change($)]]/Table235789131415[[#This Row],[ 2015 Final
 Funding]]</f>
        <v>0.37913940793758799</v>
      </c>
    </row>
    <row r="8" spans="1:8" x14ac:dyDescent="0.2">
      <c r="A8" s="4" t="s">
        <v>8</v>
      </c>
      <c r="B8" s="16">
        <f>Table235789131415[[#This Row],[ 2015 Final
 Funding]]/$C$32</f>
        <v>8.6775069804826993E-2</v>
      </c>
      <c r="C8" s="5">
        <f>VLOOKUP(Table235789131415[[#This Row],[TEOs]],'1.1'!$A:$C,3,FALSE)</f>
        <v>3742174.8853331646</v>
      </c>
      <c r="D8" s="8">
        <f>Table235789131415[[#This Row],[ 2016 Indicative
 Funding]]/$E$32</f>
        <v>9.4779526768679026E-2</v>
      </c>
      <c r="E8" s="5">
        <f>VLOOKUP(Table235789131415[[#This Row],[TEOs]],'1.4'!$A:$C,3,FALSE)</f>
        <v>5686771.6061207401</v>
      </c>
      <c r="F8" s="9">
        <f>Table235789131415[[#This Row],[2016
Ratio]]-Table235789131415[[#This Row],[2015
Ratio]]</f>
        <v>8.004456963852033E-3</v>
      </c>
      <c r="G8" s="10">
        <f>Table235789131415[[#This Row],[ 2016 Indicative
 Funding]]-Table235789131415[[#This Row],[ 2015 Final
 Funding]]</f>
        <v>1944596.7207875755</v>
      </c>
      <c r="H8" s="9">
        <f>Table235789131415[[#This Row],[Change($)]]/Table235789131415[[#This Row],[ 2015 Final
 Funding]]</f>
        <v>0.51964346412806639</v>
      </c>
    </row>
    <row r="9" spans="1:8" x14ac:dyDescent="0.2">
      <c r="A9" s="4" t="s">
        <v>37</v>
      </c>
      <c r="B9" s="16">
        <f>Table235789131415[[#This Row],[ 2015 Final
 Funding]]/$C$32</f>
        <v>6.8904293337748876E-2</v>
      </c>
      <c r="C9" s="5">
        <f>VLOOKUP(Table235789131415[[#This Row],[TEOs]],'1.1'!$A:$C,3,FALSE)</f>
        <v>2971497.6501904209</v>
      </c>
      <c r="D9" s="8">
        <f>Table235789131415[[#This Row],[ 2016 Indicative
 Funding]]/$E$32</f>
        <v>6.9155819124782025E-2</v>
      </c>
      <c r="E9" s="5">
        <f>VLOOKUP(Table235789131415[[#This Row],[TEOs]],'1.4'!$A:$C,3,FALSE)</f>
        <v>4149349.1474869205</v>
      </c>
      <c r="F9" s="9">
        <f>Table235789131415[[#This Row],[2016
Ratio]]-Table235789131415[[#This Row],[2015
Ratio]]</f>
        <v>2.5152578703314943E-4</v>
      </c>
      <c r="G9" s="10">
        <f>Table235789131415[[#This Row],[ 2016 Indicative
 Funding]]-Table235789131415[[#This Row],[ 2015 Final
 Funding]]</f>
        <v>1177851.4972964996</v>
      </c>
      <c r="H9" s="9">
        <f>Table235789131415[[#This Row],[Change($)]]/Table235789131415[[#This Row],[ 2015 Final
 Funding]]</f>
        <v>0.39638311584093627</v>
      </c>
    </row>
    <row r="10" spans="1:8" x14ac:dyDescent="0.2">
      <c r="A10" s="4" t="s">
        <v>10</v>
      </c>
      <c r="B10" s="16">
        <f>Table235789131415[[#This Row],[ 2015 Final
 Funding]]/$C$32</f>
        <v>6.4699538362048184E-2</v>
      </c>
      <c r="C10" s="5">
        <f>VLOOKUP(Table235789131415[[#This Row],[TEOs]],'1.1'!$A:$C,3,FALSE)</f>
        <v>2790167.5918633281</v>
      </c>
      <c r="D10" s="8">
        <f>Table235789131415[[#This Row],[ 2016 Indicative
 Funding]]/$E$32</f>
        <v>6.5398931950866976E-2</v>
      </c>
      <c r="E10" s="5">
        <f>VLOOKUP(Table235789131415[[#This Row],[TEOs]],'1.4'!$A:$C,3,FALSE)</f>
        <v>3923935.9170520175</v>
      </c>
      <c r="F10" s="9">
        <f>Table235789131415[[#This Row],[2016
Ratio]]-Table235789131415[[#This Row],[2015
Ratio]]</f>
        <v>6.9939358881879188E-4</v>
      </c>
      <c r="G10" s="10">
        <f>Table235789131415[[#This Row],[ 2016 Indicative
 Funding]]-Table235789131415[[#This Row],[ 2015 Final
 Funding]]</f>
        <v>1133768.3251886894</v>
      </c>
      <c r="H10" s="9">
        <f>Table235789131415[[#This Row],[Change($)]]/Table235789131415[[#This Row],[ 2015 Final
 Funding]]</f>
        <v>0.40634416674287899</v>
      </c>
    </row>
    <row r="11" spans="1:8" x14ac:dyDescent="0.2">
      <c r="A11" s="4" t="s">
        <v>9</v>
      </c>
      <c r="B11" s="16">
        <f>Table235789131415[[#This Row],[ 2015 Final
 Funding]]/$C$32</f>
        <v>4.9829988937516091E-2</v>
      </c>
      <c r="C11" s="5">
        <f>VLOOKUP(Table235789131415[[#This Row],[TEOs]],'1.1'!$A:$C,3,FALSE)</f>
        <v>2148918.2729303818</v>
      </c>
      <c r="D11" s="8">
        <f>Table235789131415[[#This Row],[ 2016 Indicative
 Funding]]/$E$32</f>
        <v>4.6347495000306153E-2</v>
      </c>
      <c r="E11" s="5">
        <f>VLOOKUP(Table235789131415[[#This Row],[TEOs]],'1.4'!$A:$C,3,FALSE)</f>
        <v>2780849.7000183687</v>
      </c>
      <c r="F11" s="9">
        <f>Table235789131415[[#This Row],[2016
Ratio]]-Table235789131415[[#This Row],[2015
Ratio]]</f>
        <v>-3.4824939372099378E-3</v>
      </c>
      <c r="G11" s="10">
        <f>Table235789131415[[#This Row],[ 2016 Indicative
 Funding]]-Table235789131415[[#This Row],[ 2015 Final
 Funding]]</f>
        <v>631931.42708798684</v>
      </c>
      <c r="H11" s="9">
        <f>Table235789131415[[#This Row],[Change($)]]/Table235789131415[[#This Row],[ 2015 Final
 Funding]]</f>
        <v>0.29406954887411829</v>
      </c>
    </row>
    <row r="12" spans="1:8" x14ac:dyDescent="0.2">
      <c r="A12" s="4" t="s">
        <v>11</v>
      </c>
      <c r="B12" s="16">
        <f>Table235789131415[[#This Row],[ 2015 Final
 Funding]]/$C$32</f>
        <v>2.2097057297132273E-2</v>
      </c>
      <c r="C12" s="5">
        <f>VLOOKUP(Table235789131415[[#This Row],[TEOs]],'1.1'!$A:$C,3,FALSE)</f>
        <v>952935.59593882947</v>
      </c>
      <c r="D12" s="8">
        <f>Table235789131415[[#This Row],[ 2016 Indicative
 Funding]]/$E$32</f>
        <v>2.2057802565545969E-2</v>
      </c>
      <c r="E12" s="5">
        <f>VLOOKUP(Table235789131415[[#This Row],[TEOs]],'1.4'!$A:$C,3,FALSE)</f>
        <v>1323468.1539327579</v>
      </c>
      <c r="F12" s="9">
        <f>Table235789131415[[#This Row],[2016
Ratio]]-Table235789131415[[#This Row],[2015
Ratio]]</f>
        <v>-3.9254731586304409E-5</v>
      </c>
      <c r="G12" s="10">
        <f>Table235789131415[[#This Row],[ 2016 Indicative
 Funding]]-Table235789131415[[#This Row],[ 2015 Final
 Funding]]</f>
        <v>370532.55799392844</v>
      </c>
      <c r="H12" s="9">
        <f>Table235789131415[[#This Row],[Change($)]]/Table235789131415[[#This Row],[ 2015 Final
 Funding]]</f>
        <v>0.38883273914107574</v>
      </c>
    </row>
    <row r="13" spans="1:8" x14ac:dyDescent="0.2">
      <c r="A13" s="4" t="s">
        <v>14</v>
      </c>
      <c r="B13" s="16">
        <f>Table235789131415[[#This Row],[ 2015 Final
 Funding]]/$C$32</f>
        <v>2.8977577628775211E-3</v>
      </c>
      <c r="C13" s="5">
        <f>VLOOKUP(Table235789131415[[#This Row],[TEOs]],'1.1'!$A:$C,3,FALSE)</f>
        <v>124965.80352409312</v>
      </c>
      <c r="D13" s="8">
        <f>Table235789131415[[#This Row],[ 2016 Indicative
 Funding]]/$E$32</f>
        <v>2.7732546176124822E-3</v>
      </c>
      <c r="E13" s="5">
        <f>VLOOKUP(Table235789131415[[#This Row],[TEOs]],'1.4'!$A:$C,3,FALSE)</f>
        <v>166395.27705674889</v>
      </c>
      <c r="F13" s="9">
        <f>Table235789131415[[#This Row],[2016
Ratio]]-Table235789131415[[#This Row],[2015
Ratio]]</f>
        <v>-1.2450314526503891E-4</v>
      </c>
      <c r="G13" s="10">
        <f>Table235789131415[[#This Row],[ 2016 Indicative
 Funding]]-Table235789131415[[#This Row],[ 2015 Final
 Funding]]</f>
        <v>41429.473532655771</v>
      </c>
      <c r="H13" s="9">
        <f>Table235789131415[[#This Row],[Change($)]]/Table235789131415[[#This Row],[ 2015 Final
 Funding]]</f>
        <v>0.33152648456078038</v>
      </c>
    </row>
    <row r="14" spans="1:8" x14ac:dyDescent="0.2">
      <c r="A14" s="18" t="s">
        <v>40</v>
      </c>
      <c r="B14" s="16">
        <f>Table235789131415[[#This Row],[ 2015 Final
 Funding]]/$C$32</f>
        <v>1.388277391778893E-3</v>
      </c>
      <c r="C14" s="5">
        <f>VLOOKUP(Table235789131415[[#This Row],[TEOs]],'1.1'!$A:$C,3,FALSE)</f>
        <v>59869.462520464767</v>
      </c>
      <c r="D14" s="8">
        <f>Table235789131415[[#This Row],[ 2016 Indicative
 Funding]]/$E$32</f>
        <v>5.7142929864958372E-4</v>
      </c>
      <c r="E14" s="5">
        <f>VLOOKUP(Table235789131415[[#This Row],[TEOs]],'1.4'!$A:$C,3,FALSE)</f>
        <v>34285.757918975018</v>
      </c>
      <c r="F14" s="9">
        <f>Table235789131415[[#This Row],[2016
Ratio]]-Table235789131415[[#This Row],[2015
Ratio]]</f>
        <v>-8.1684809312930929E-4</v>
      </c>
      <c r="G14" s="10">
        <f>Table235789131415[[#This Row],[ 2016 Indicative
 Funding]]-Table235789131415[[#This Row],[ 2015 Final
 Funding]]</f>
        <v>-25583.70460148975</v>
      </c>
      <c r="H14" s="9">
        <f>Table235789131415[[#This Row],[Change($)]]/Table235789131415[[#This Row],[ 2015 Final
 Funding]]</f>
        <v>-0.42732477500937388</v>
      </c>
    </row>
    <row r="15" spans="1:8" x14ac:dyDescent="0.2">
      <c r="A15" s="4" t="s">
        <v>41</v>
      </c>
      <c r="B15" s="16">
        <f>Table235789131415[[#This Row],[ 2015 Final
 Funding]]/$C$32</f>
        <v>7.4617406848583707E-4</v>
      </c>
      <c r="C15" s="5">
        <f>VLOOKUP(Table235789131415[[#This Row],[TEOs]],'1.1'!$A:$C,3,FALSE)</f>
        <v>32178.756703451727</v>
      </c>
      <c r="D15" s="8">
        <f>Table235789131415[[#This Row],[ 2016 Indicative
 Funding]]/$E$32</f>
        <v>4.5689811967589703E-4</v>
      </c>
      <c r="E15" s="5">
        <f>VLOOKUP(Table235789131415[[#This Row],[TEOs]],'1.4'!$A:$C,3,FALSE)</f>
        <v>27413.887180553815</v>
      </c>
      <c r="F15" s="9">
        <f>Table235789131415[[#This Row],[2016
Ratio]]-Table235789131415[[#This Row],[2015
Ratio]]</f>
        <v>-2.8927594880994004E-4</v>
      </c>
      <c r="G15" s="10">
        <f>Table235789131415[[#This Row],[ 2016 Indicative
 Funding]]-Table235789131415[[#This Row],[ 2015 Final
 Funding]]</f>
        <v>-4764.8695228979122</v>
      </c>
      <c r="H15" s="9">
        <f>Table235789131415[[#This Row],[Change($)]]/Table235789131415[[#This Row],[ 2015 Final
 Funding]]</f>
        <v>-0.14807500385453978</v>
      </c>
    </row>
    <row r="16" spans="1:8" x14ac:dyDescent="0.2">
      <c r="A16" s="4" t="s">
        <v>12</v>
      </c>
      <c r="B16" s="16">
        <f>Table235789131415[[#This Row],[ 2015 Final
 Funding]]/$C$32</f>
        <v>6.0420740479360103E-4</v>
      </c>
      <c r="C16" s="5">
        <f>VLOOKUP(Table235789131415[[#This Row],[TEOs]],'1.1'!$A:$C,3,FALSE)</f>
        <v>26056.444331724048</v>
      </c>
      <c r="D16" s="8">
        <f>Table235789131415[[#This Row],[ 2016 Indicative
 Funding]]/$E$32</f>
        <v>5.5323892149077307E-4</v>
      </c>
      <c r="E16" s="5">
        <f>VLOOKUP(Table235789131415[[#This Row],[TEOs]],'1.4'!$A:$C,3,FALSE)</f>
        <v>33194.335289446375</v>
      </c>
      <c r="F16" s="9">
        <f>Table235789131415[[#This Row],[2016
Ratio]]-Table235789131415[[#This Row],[2015
Ratio]]</f>
        <v>-5.0968483302827965E-5</v>
      </c>
      <c r="G16" s="10">
        <f>Table235789131415[[#This Row],[ 2016 Indicative
 Funding]]-Table235789131415[[#This Row],[ 2015 Final
 Funding]]</f>
        <v>7137.8909577223276</v>
      </c>
      <c r="H16" s="9">
        <f>Table235789131415[[#This Row],[Change($)]]/Table235789131415[[#This Row],[ 2015 Final
 Funding]]</f>
        <v>0.27393956239193601</v>
      </c>
    </row>
    <row r="17" spans="1:8" x14ac:dyDescent="0.2">
      <c r="A17" s="4" t="s">
        <v>19</v>
      </c>
      <c r="B17" s="16">
        <f>Table235789131415[[#This Row],[ 2015 Final
 Funding]]/$C$32</f>
        <v>7.3002075107102867E-4</v>
      </c>
      <c r="C17" s="5">
        <f>VLOOKUP(Table235789131415[[#This Row],[TEOs]],'1.1'!$A:$C,3,FALSE)</f>
        <v>31482.144889938118</v>
      </c>
      <c r="D17" s="8">
        <f>Table235789131415[[#This Row],[ 2016 Indicative
 Funding]]/$E$32</f>
        <v>6.3513129150403168E-4</v>
      </c>
      <c r="E17" s="5">
        <f>VLOOKUP(Table235789131415[[#This Row],[TEOs]],'1.4'!$A:$C,3,FALSE)</f>
        <v>38107.877490241888</v>
      </c>
      <c r="F17" s="9">
        <f>Table235789131415[[#This Row],[2016
Ratio]]-Table235789131415[[#This Row],[2015
Ratio]]</f>
        <v>-9.4889459566996999E-5</v>
      </c>
      <c r="G17" s="10">
        <f>Table235789131415[[#This Row],[ 2016 Indicative
 Funding]]-Table235789131415[[#This Row],[ 2015 Final
 Funding]]</f>
        <v>6625.7326003037706</v>
      </c>
      <c r="H17" s="9">
        <f>Table235789131415[[#This Row],[Change($)]]/Table235789131415[[#This Row],[ 2015 Final
 Funding]]</f>
        <v>0.21046001228529365</v>
      </c>
    </row>
    <row r="18" spans="1:8" x14ac:dyDescent="0.2">
      <c r="A18" s="4" t="s">
        <v>20</v>
      </c>
      <c r="B18" s="16">
        <f>Table235789131415[[#This Row],[ 2015 Final
 Funding]]/$C$32</f>
        <v>3.102510964460457E-4</v>
      </c>
      <c r="C18" s="5">
        <f>VLOOKUP(Table235789131415[[#This Row],[TEOs]],'1.1'!$A:$C,3,FALSE)</f>
        <v>13379.578534235723</v>
      </c>
      <c r="D18" s="8">
        <f>Table235789131415[[#This Row],[ 2016 Indicative
 Funding]]/$E$32</f>
        <v>2.1527694122963983E-4</v>
      </c>
      <c r="E18" s="5">
        <f>VLOOKUP(Table235789131415[[#This Row],[TEOs]],'1.4'!$A:$C,3,FALSE)</f>
        <v>12916.616473778387</v>
      </c>
      <c r="F18" s="9">
        <f>Table235789131415[[#This Row],[2016
Ratio]]-Table235789131415[[#This Row],[2015
Ratio]]</f>
        <v>-9.4974155216405866E-5</v>
      </c>
      <c r="G18" s="10">
        <f>Table235789131415[[#This Row],[ 2016 Indicative
 Funding]]-Table235789131415[[#This Row],[ 2015 Final
 Funding]]</f>
        <v>-462.96206045733561</v>
      </c>
      <c r="H18" s="9">
        <f>Table235789131415[[#This Row],[Change($)]]/Table235789131415[[#This Row],[ 2015 Final
 Funding]]</f>
        <v>-3.4602140812784669E-2</v>
      </c>
    </row>
    <row r="19" spans="1:8" x14ac:dyDescent="0.2">
      <c r="A19" s="4" t="s">
        <v>16</v>
      </c>
      <c r="B19" s="16">
        <f>Table235789131415[[#This Row],[ 2015 Final
 Funding]]/$C$32</f>
        <v>2.5663077924093517E-4</v>
      </c>
      <c r="C19" s="5">
        <f>VLOOKUP(Table235789131415[[#This Row],[TEOs]],'1.1'!$A:$C,3,FALSE)</f>
        <v>11067.202354765332</v>
      </c>
      <c r="D19" s="8">
        <f>Table235789131415[[#This Row],[ 2016 Indicative
 Funding]]/$E$32</f>
        <v>1.8607743722936609E-4</v>
      </c>
      <c r="E19" s="5">
        <f>VLOOKUP(Table235789131415[[#This Row],[TEOs]],'1.4'!$A:$C,3,FALSE)</f>
        <v>11164.646233761963</v>
      </c>
      <c r="F19" s="9">
        <f>Table235789131415[[#This Row],[2016
Ratio]]-Table235789131415[[#This Row],[2015
Ratio]]</f>
        <v>-7.0553342011569077E-5</v>
      </c>
      <c r="G19" s="10">
        <f>Table235789131415[[#This Row],[ 2016 Indicative
 Funding]]-Table235789131415[[#This Row],[ 2015 Final
 Funding]]</f>
        <v>97.443878996631611</v>
      </c>
      <c r="H19" s="9">
        <f>Table235789131415[[#This Row],[Change($)]]/Table235789131415[[#This Row],[ 2015 Final
 Funding]]</f>
        <v>8.8047435903866062E-3</v>
      </c>
    </row>
    <row r="20" spans="1:8" x14ac:dyDescent="0.2">
      <c r="A20" s="4" t="s">
        <v>13</v>
      </c>
      <c r="B20" s="16">
        <f>Table235789131415[[#This Row],[ 2015 Final
 Funding]]/$C$32</f>
        <v>4.7923282311356153E-4</v>
      </c>
      <c r="C20" s="5">
        <f>VLOOKUP(Table235789131415[[#This Row],[TEOs]],'1.1'!$A:$C,3,FALSE)</f>
        <v>20666.915496772344</v>
      </c>
      <c r="D20" s="8">
        <f>Table235789131415[[#This Row],[ 2016 Indicative
 Funding]]/$E$32</f>
        <v>3.4352821201812084E-4</v>
      </c>
      <c r="E20" s="5">
        <f>VLOOKUP(Table235789131415[[#This Row],[TEOs]],'1.4'!$A:$C,3,FALSE)</f>
        <v>20611.692721087245</v>
      </c>
      <c r="F20" s="9">
        <f>Table235789131415[[#This Row],[2016
Ratio]]-Table235789131415[[#This Row],[2015
Ratio]]</f>
        <v>-1.3570461109544069E-4</v>
      </c>
      <c r="G20" s="10">
        <f>Table235789131415[[#This Row],[ 2016 Indicative
 Funding]]-Table235789131415[[#This Row],[ 2015 Final
 Funding]]</f>
        <v>-55.222775685098895</v>
      </c>
      <c r="H20" s="9">
        <f>Table235789131415[[#This Row],[Change($)]]/Table235789131415[[#This Row],[ 2015 Final
 Funding]]</f>
        <v>-2.6720376194368876E-3</v>
      </c>
    </row>
    <row r="21" spans="1:8" x14ac:dyDescent="0.2">
      <c r="A21" s="4" t="s">
        <v>24</v>
      </c>
      <c r="B21" s="16">
        <f>Table235789131415[[#This Row],[ 2015 Final
 Funding]]/$C$32</f>
        <v>1.5977266796805207E-4</v>
      </c>
      <c r="C21" s="5">
        <f>VLOOKUP(Table235789131415[[#This Row],[TEOs]],'1.1'!$A:$C,3,FALSE)</f>
        <v>6890.1963061222468</v>
      </c>
      <c r="D21" s="8">
        <f>Table235789131415[[#This Row],[ 2016 Indicative
 Funding]]/$E$32</f>
        <v>1.9119798715374578E-4</v>
      </c>
      <c r="E21" s="5">
        <f>VLOOKUP(Table235789131415[[#This Row],[TEOs]],'1.4'!$A:$C,3,FALSE)</f>
        <v>11471.879229224744</v>
      </c>
      <c r="F21" s="9">
        <f>Table235789131415[[#This Row],[2016
Ratio]]-Table235789131415[[#This Row],[2015
Ratio]]</f>
        <v>3.1425319185693709E-5</v>
      </c>
      <c r="G21" s="10">
        <f>Table235789131415[[#This Row],[ 2016 Indicative
 Funding]]-Table235789131415[[#This Row],[ 2015 Final
 Funding]]</f>
        <v>4581.6829231024967</v>
      </c>
      <c r="H21" s="9">
        <f>Table235789131415[[#This Row],[Change($)]]/Table235789131415[[#This Row],[ 2015 Final
 Funding]]</f>
        <v>0.66495680522650236</v>
      </c>
    </row>
    <row r="22" spans="1:8" x14ac:dyDescent="0.2">
      <c r="A22" s="4" t="s">
        <v>15</v>
      </c>
      <c r="B22" s="16">
        <f>Table235789131415[[#This Row],[ 2015 Final
 Funding]]/$C$32</f>
        <v>9.5607637457465456E-5</v>
      </c>
      <c r="C22" s="5">
        <f>VLOOKUP(Table235789131415[[#This Row],[TEOs]],'1.1'!$A:$C,3,FALSE)</f>
        <v>4123.0793653531982</v>
      </c>
      <c r="D22" s="8">
        <f>Table235789131415[[#This Row],[ 2016 Indicative
 Funding]]/$E$32</f>
        <v>1.508530459189206E-4</v>
      </c>
      <c r="E22" s="5">
        <f>VLOOKUP(Table235789131415[[#This Row],[TEOs]],'1.4'!$A:$C,3,FALSE)</f>
        <v>9051.1827551352344</v>
      </c>
      <c r="F22" s="9">
        <f>Table235789131415[[#This Row],[2016
Ratio]]-Table235789131415[[#This Row],[2015
Ratio]]</f>
        <v>5.5245408461455147E-5</v>
      </c>
      <c r="G22" s="10">
        <f>Table235789131415[[#This Row],[ 2016 Indicative
 Funding]]-Table235789131415[[#This Row],[ 2015 Final
 Funding]]</f>
        <v>4928.1033897820362</v>
      </c>
      <c r="H22" s="9">
        <f>Table235789131415[[#This Row],[Change($)]]/Table235789131415[[#This Row],[ 2015 Final
 Funding]]</f>
        <v>1.1952482484799021</v>
      </c>
    </row>
    <row r="23" spans="1:8" x14ac:dyDescent="0.2">
      <c r="A23" s="4" t="s">
        <v>18</v>
      </c>
      <c r="B23" s="16">
        <f>Table235789131415[[#This Row],[ 2015 Final
 Funding]]/$C$32</f>
        <v>9.5414590300315605E-5</v>
      </c>
      <c r="C23" s="5">
        <f>VLOOKUP(Table235789131415[[#This Row],[TEOs]],'1.1'!$A:$C,3,FALSE)</f>
        <v>4114.7542067011109</v>
      </c>
      <c r="D23" s="8">
        <f>Table235789131415[[#This Row],[ 2016 Indicative
 Funding]]/$E$32</f>
        <v>4.581806311505384E-5</v>
      </c>
      <c r="E23" s="5">
        <f>VLOOKUP(Table235789131415[[#This Row],[TEOs]],'1.4'!$A:$C,3,FALSE)</f>
        <v>2749.0837869032298</v>
      </c>
      <c r="F23" s="9">
        <f>Table235789131415[[#This Row],[2016
Ratio]]-Table235789131415[[#This Row],[2015
Ratio]]</f>
        <v>-4.9596527185261765E-5</v>
      </c>
      <c r="G23" s="10">
        <f>Table235789131415[[#This Row],[ 2016 Indicative
 Funding]]-Table235789131415[[#This Row],[ 2015 Final
 Funding]]</f>
        <v>-1365.6704197978811</v>
      </c>
      <c r="H23" s="9">
        <f>Table235789131415[[#This Row],[Change($)]]/Table235789131415[[#This Row],[ 2015 Final
 Funding]]</f>
        <v>-0.33189598969819611</v>
      </c>
    </row>
    <row r="24" spans="1:8" x14ac:dyDescent="0.2">
      <c r="A24" s="4" t="s">
        <v>42</v>
      </c>
      <c r="B24" s="16">
        <f>Table235789131415[[#This Row],[ 2015 Final
 Funding]]/$C$32</f>
        <v>1.9301034493407761E-4</v>
      </c>
      <c r="C24" s="5">
        <f>VLOOKUP(Table235789131415[[#This Row],[TEOs]],'1.1'!$A:$C,3,FALSE)</f>
        <v>8323.5711252820984</v>
      </c>
      <c r="D24" s="8">
        <f>Table235789131415[[#This Row],[ 2016 Indicative
 Funding]]/$E$32</f>
        <v>3.3222589635704307E-4</v>
      </c>
      <c r="E24" s="5">
        <f>VLOOKUP(Table235789131415[[#This Row],[TEOs]],'1.4'!$A:$C,3,FALSE)</f>
        <v>19933.553781422579</v>
      </c>
      <c r="F24" s="9">
        <f>Table235789131415[[#This Row],[2016
Ratio]]-Table235789131415[[#This Row],[2015
Ratio]]</f>
        <v>1.3921555142296546E-4</v>
      </c>
      <c r="G24" s="10">
        <f>Table235789131415[[#This Row],[ 2016 Indicative
 Funding]]-Table235789131415[[#This Row],[ 2015 Final
 Funding]]</f>
        <v>11609.982656140481</v>
      </c>
      <c r="H24" s="9">
        <f>Table235789131415[[#This Row],[Change($)]]/Table235789131415[[#This Row],[ 2015 Final
 Funding]]</f>
        <v>1.3948319154594839</v>
      </c>
    </row>
    <row r="25" spans="1:8" x14ac:dyDescent="0.2">
      <c r="A25" s="4" t="s">
        <v>21</v>
      </c>
      <c r="B25" s="16">
        <f>Table235789131415[[#This Row],[ 2015 Final
 Funding]]/$C$32</f>
        <v>6.500262263401112E-5</v>
      </c>
      <c r="C25" s="5">
        <f>VLOOKUP(Table235789131415[[#This Row],[TEOs]],'1.1'!$A:$C,3,FALSE)</f>
        <v>2803.2381010917302</v>
      </c>
      <c r="D25" s="8">
        <f>Table235789131415[[#This Row],[ 2016 Indicative
 Funding]]/$E$32</f>
        <v>3.5493635476190658E-5</v>
      </c>
      <c r="E25" s="5">
        <f>VLOOKUP(Table235789131415[[#This Row],[TEOs]],'1.4'!$A:$C,3,FALSE)</f>
        <v>2129.6181285714388</v>
      </c>
      <c r="F25" s="9">
        <f>Table235789131415[[#This Row],[2016
Ratio]]-Table235789131415[[#This Row],[2015
Ratio]]</f>
        <v>-2.9508987157820462E-5</v>
      </c>
      <c r="G25" s="10">
        <f>Table235789131415[[#This Row],[ 2016 Indicative
 Funding]]-Table235789131415[[#This Row],[ 2015 Final
 Funding]]</f>
        <v>-673.61997252029141</v>
      </c>
      <c r="H25" s="9">
        <f>Table235789131415[[#This Row],[Change($)]]/Table235789131415[[#This Row],[ 2015 Final
 Funding]]</f>
        <v>-0.24030066238681186</v>
      </c>
    </row>
    <row r="26" spans="1:8" x14ac:dyDescent="0.2">
      <c r="A26" s="4" t="s">
        <v>43</v>
      </c>
      <c r="B26" s="16">
        <f>Table235789131415[[#This Row],[ 2015 Final
 Funding]]/$C$32</f>
        <v>5.109163629361633E-5</v>
      </c>
      <c r="C26" s="5">
        <f>VLOOKUP(Table235789131415[[#This Row],[TEOs]],'1.1'!$A:$C,3,FALSE)</f>
        <v>2203.3268151622046</v>
      </c>
      <c r="D26" s="8">
        <f>Table235789131415[[#This Row],[ 2016 Indicative
 Funding]]/$E$32</f>
        <v>6.3914195813176774E-5</v>
      </c>
      <c r="E26" s="5">
        <f>VLOOKUP(Table235789131415[[#This Row],[TEOs]],'1.4'!$A:$C,3,FALSE)</f>
        <v>3834.8517487906056</v>
      </c>
      <c r="F26" s="9">
        <f>Table235789131415[[#This Row],[2016
Ratio]]-Table235789131415[[#This Row],[2015
Ratio]]</f>
        <v>1.2822559519560445E-5</v>
      </c>
      <c r="G26" s="10">
        <f>Table235789131415[[#This Row],[ 2016 Indicative
 Funding]]-Table235789131415[[#This Row],[ 2015 Final
 Funding]]</f>
        <v>1631.524933628401</v>
      </c>
      <c r="H26" s="9">
        <f>Table235789131415[[#This Row],[Change($)]]/Table235789131415[[#This Row],[ 2015 Final
 Funding]]</f>
        <v>0.74048249329198645</v>
      </c>
    </row>
    <row r="27" spans="1:8" x14ac:dyDescent="0.2">
      <c r="A27" s="4" t="s">
        <v>22</v>
      </c>
      <c r="B27" s="16">
        <f>Table235789131415[[#This Row],[ 2015 Final
 Funding]]/$C$32</f>
        <v>1.3561450432849159E-5</v>
      </c>
      <c r="C27" s="5">
        <f>VLOOKUP(Table235789131415[[#This Row],[TEOs]],'1.1'!$A:$C,3,FALSE)</f>
        <v>584.83754991662011</v>
      </c>
      <c r="D27" s="8">
        <f>Table235789131415[[#This Row],[ 2016 Indicative
 Funding]]/$E$32</f>
        <v>7.4629724398216194E-6</v>
      </c>
      <c r="E27" s="5">
        <f>VLOOKUP(Table235789131415[[#This Row],[TEOs]],'1.4'!$A:$C,3,FALSE)</f>
        <v>447.77834638929704</v>
      </c>
      <c r="F27" s="9">
        <f>Table235789131415[[#This Row],[2016
Ratio]]-Table235789131415[[#This Row],[2015
Ratio]]</f>
        <v>-6.0984779930275398E-6</v>
      </c>
      <c r="G27" s="10">
        <f>Table235789131415[[#This Row],[ 2016 Indicative
 Funding]]-Table235789131415[[#This Row],[ 2015 Final
 Funding]]</f>
        <v>-137.05920352732306</v>
      </c>
      <c r="H27" s="9">
        <f>Table235789131415[[#This Row],[Change($)]]/Table235789131415[[#This Row],[ 2015 Final
 Funding]]</f>
        <v>-0.23435431522285718</v>
      </c>
    </row>
    <row r="28" spans="1:8" x14ac:dyDescent="0.2">
      <c r="A28" s="4" t="s">
        <v>23</v>
      </c>
      <c r="B28" s="16">
        <f>Table235789131415[[#This Row],[ 2015 Final
 Funding]]/$C$32</f>
        <v>0</v>
      </c>
      <c r="C28" s="5">
        <f>VLOOKUP(Table235789131415[[#This Row],[TEOs]],'1.1'!$A:$C,3,FALSE)</f>
        <v>0</v>
      </c>
      <c r="D28" s="8">
        <f>Table235789131415[[#This Row],[ 2016 Indicative
 Funding]]/$E$32</f>
        <v>0</v>
      </c>
      <c r="E28" s="5">
        <f>VLOOKUP(Table235789131415[[#This Row],[TEOs]],'1.4'!$A:$C,3,FALSE)</f>
        <v>0</v>
      </c>
      <c r="F28" s="9">
        <f>Table235789131415[[#This Row],[2016
Ratio]]-Table235789131415[[#This Row],[2015
Ratio]]</f>
        <v>0</v>
      </c>
      <c r="G28" s="10">
        <f>Table235789131415[[#This Row],[ 2016 Indicative
 Funding]]-Table235789131415[[#This Row],[ 2015 Final
 Funding]]</f>
        <v>0</v>
      </c>
      <c r="H28" s="9"/>
    </row>
    <row r="29" spans="1:8" x14ac:dyDescent="0.2">
      <c r="A29" s="4" t="s">
        <v>17</v>
      </c>
      <c r="B29" s="16">
        <f>Table235789131415[[#This Row],[ 2015 Final
 Funding]]/$C$32</f>
        <v>0</v>
      </c>
      <c r="C29" s="5">
        <f>VLOOKUP(Table235789131415[[#This Row],[TEOs]],'1.1'!$A:$C,3,FALSE)</f>
        <v>0</v>
      </c>
      <c r="D29" s="8">
        <f>Table235789131415[[#This Row],[ 2016 Indicative
 Funding]]/$E$32</f>
        <v>0</v>
      </c>
      <c r="E29" s="5">
        <f>VLOOKUP(Table235789131415[[#This Row],[TEOs]],'1.4'!$A:$C,3,FALSE)</f>
        <v>0</v>
      </c>
      <c r="F29" s="9">
        <f>Table235789131415[[#This Row],[2016
Ratio]]-Table235789131415[[#This Row],[2015
Ratio]]</f>
        <v>0</v>
      </c>
      <c r="G29" s="10">
        <f>Table235789131415[[#This Row],[ 2016 Indicative
 Funding]]-Table235789131415[[#This Row],[ 2015 Final
 Funding]]</f>
        <v>0</v>
      </c>
      <c r="H29" s="9"/>
    </row>
    <row r="30" spans="1:8" x14ac:dyDescent="0.2">
      <c r="A30" s="4" t="s">
        <v>25</v>
      </c>
      <c r="B30" s="16">
        <f>Table235789131415[[#This Row],[ 2015 Final
 Funding]]/$C$32</f>
        <v>0</v>
      </c>
      <c r="C30" s="5">
        <f>VLOOKUP(Table235789131415[[#This Row],[TEOs]],'1.1'!$A:$C,3,FALSE)</f>
        <v>0</v>
      </c>
      <c r="D30" s="8">
        <f>Table235789131415[[#This Row],[ 2016 Indicative
 Funding]]/$E$32</f>
        <v>0</v>
      </c>
      <c r="E30" s="5">
        <f>VLOOKUP(Table235789131415[[#This Row],[TEOs]],'1.4'!$A:$C,3,FALSE)</f>
        <v>0</v>
      </c>
      <c r="F30" s="9">
        <f>Table235789131415[[#This Row],[2016
Ratio]]-Table235789131415[[#This Row],[2015
Ratio]]</f>
        <v>0</v>
      </c>
      <c r="G30" s="10">
        <f>Table235789131415[[#This Row],[ 2016 Indicative
 Funding]]-Table235789131415[[#This Row],[ 2015 Final
 Funding]]</f>
        <v>0</v>
      </c>
      <c r="H30" s="9"/>
    </row>
    <row r="31" spans="1:8" x14ac:dyDescent="0.2">
      <c r="A31" s="4" t="s">
        <v>26</v>
      </c>
      <c r="B31" s="16">
        <f>Table235789131415[[#This Row],[ 2015 Final
 Funding]]/$C$32</f>
        <v>0</v>
      </c>
      <c r="C31" s="5">
        <f>VLOOKUP(Table235789131415[[#This Row],[TEOs]],'1.1'!$A:$C,3,FALSE)</f>
        <v>0</v>
      </c>
      <c r="D31" s="8">
        <f>Table235789131415[[#This Row],[ 2016 Indicative
 Funding]]/$E$32</f>
        <v>0</v>
      </c>
      <c r="E31" s="5">
        <f>VLOOKUP(Table235789131415[[#This Row],[TEOs]],'1.4'!$A:$C,3,FALSE)</f>
        <v>0</v>
      </c>
      <c r="F31" s="9">
        <f>Table235789131415[[#This Row],[2016
Ratio]]-Table235789131415[[#This Row],[2015
Ratio]]</f>
        <v>0</v>
      </c>
      <c r="G31" s="10">
        <f>Table235789131415[[#This Row],[ 2016 Indicative
 Funding]]-Table235789131415[[#This Row],[ 2015 Final
 Funding]]</f>
        <v>0</v>
      </c>
      <c r="H31" s="9"/>
    </row>
    <row r="32" spans="1:8" x14ac:dyDescent="0.2">
      <c r="A32" s="7" t="s">
        <v>27</v>
      </c>
      <c r="B32" s="12">
        <f t="shared" ref="B32:G32" si="0">SUBTOTAL(109,B5:B31)</f>
        <v>0.99999999999999967</v>
      </c>
      <c r="C32" s="6">
        <f t="shared" si="0"/>
        <v>43125000.000000007</v>
      </c>
      <c r="D32" s="12">
        <f t="shared" si="0"/>
        <v>1.0000000000000002</v>
      </c>
      <c r="E32" s="6">
        <f t="shared" si="0"/>
        <v>59999999.999999985</v>
      </c>
      <c r="F32" s="14">
        <f t="shared" si="0"/>
        <v>2.8427018632917397E-16</v>
      </c>
      <c r="G32" s="11">
        <f t="shared" si="0"/>
        <v>16874999.999999981</v>
      </c>
      <c r="H32" s="14">
        <f>Table235789131415[[#This Row],[Change($)]]/Table235789131415[[#This Row],[ 2015 Final
 Funding]]</f>
        <v>0.39130434782608647</v>
      </c>
    </row>
  </sheetData>
  <pageMargins left="0.70866141732283472" right="0.70866141732283472" top="0.74803149606299213" bottom="0.74803149606299213" header="0.31496062992125984" footer="0.31496062992125984"/>
  <pageSetup paperSize="9" scale="63"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2"/>
  <sheetViews>
    <sheetView workbookViewId="0">
      <selection activeCell="B33" sqref="B33"/>
    </sheetView>
  </sheetViews>
  <sheetFormatPr defaultRowHeight="15" x14ac:dyDescent="0.2"/>
  <cols>
    <col min="1" max="1" width="30.88671875" bestFit="1" customWidth="1"/>
    <col min="2" max="3" width="10.109375" bestFit="1" customWidth="1"/>
    <col min="4" max="4" width="10.88671875" bestFit="1" customWidth="1"/>
    <col min="9" max="9" width="12" bestFit="1" customWidth="1"/>
    <col min="10" max="10" width="15" customWidth="1"/>
    <col min="11" max="11" width="11" bestFit="1" customWidth="1"/>
  </cols>
  <sheetData>
    <row r="2" spans="1:13" ht="15.75" x14ac:dyDescent="0.25">
      <c r="A2" s="1" t="s">
        <v>181</v>
      </c>
      <c r="H2" s="2" t="s">
        <v>0</v>
      </c>
    </row>
    <row r="3" spans="1:13" x14ac:dyDescent="0.2">
      <c r="H3" s="61"/>
      <c r="I3" s="61"/>
      <c r="J3" s="61"/>
      <c r="K3" s="61"/>
      <c r="L3" s="61"/>
      <c r="M3" s="61"/>
    </row>
    <row r="4" spans="1:13" ht="35.25" customHeight="1" x14ac:dyDescent="0.2">
      <c r="A4" s="3" t="s">
        <v>2</v>
      </c>
      <c r="B4" s="3" t="s">
        <v>95</v>
      </c>
      <c r="C4" s="3" t="s">
        <v>182</v>
      </c>
      <c r="D4" s="3" t="s">
        <v>30</v>
      </c>
      <c r="E4" s="3" t="s">
        <v>31</v>
      </c>
      <c r="H4" s="61"/>
      <c r="I4" s="61"/>
      <c r="J4" s="61"/>
      <c r="K4" s="61"/>
      <c r="L4" s="61"/>
      <c r="M4" s="61"/>
    </row>
    <row r="5" spans="1:13" x14ac:dyDescent="0.2">
      <c r="A5" s="4" t="s">
        <v>6</v>
      </c>
      <c r="B5" s="5">
        <f>VLOOKUP(Table23578916[[#This Row],[TEOs]],'[2]1.1'!$A:$E,4,FALSE)</f>
        <v>21888228.620000001</v>
      </c>
      <c r="C5" s="5">
        <f>VLOOKUP(Table23578916[[#This Row],[TEOs]],'1.1'!$A:$D,4,FALSE)</f>
        <v>21688869.992057454</v>
      </c>
      <c r="D5" s="10">
        <f>Table23578916[[#This Row],[RDC Final 
2015]]-Table23578916[[#This Row],[RDC Final 
2014]]</f>
        <v>-199358.6279425472</v>
      </c>
      <c r="E5" s="9">
        <f>Table23578916[[#This Row],[Change($)]]/Table23578916[[#This Row],[RDC Final 
2014]]</f>
        <v>-9.1080293158299075E-3</v>
      </c>
      <c r="H5" s="61"/>
      <c r="I5" s="62"/>
      <c r="J5" s="62"/>
      <c r="K5" s="61"/>
      <c r="L5" s="61"/>
      <c r="M5" s="61"/>
    </row>
    <row r="6" spans="1:13" x14ac:dyDescent="0.2">
      <c r="A6" s="4" t="s">
        <v>38</v>
      </c>
      <c r="B6" s="5">
        <f>VLOOKUP(Table23578916[[#This Row],[TEOs]],'[2]1.1'!$A:$E,4,FALSE)</f>
        <v>11343527.880000001</v>
      </c>
      <c r="C6" s="5">
        <f>VLOOKUP(Table23578916[[#This Row],[TEOs]],'1.1'!$A:$D,4,FALSE)</f>
        <v>11842154.334993675</v>
      </c>
      <c r="D6" s="10">
        <f>Table23578916[[#This Row],[RDC Final 
2015]]-Table23578916[[#This Row],[RDC Final 
2014]]</f>
        <v>498626.45499367453</v>
      </c>
      <c r="E6" s="9">
        <f>Table23578916[[#This Row],[Change($)]]/Table23578916[[#This Row],[RDC Final 
2014]]</f>
        <v>4.3956911841580848E-2</v>
      </c>
      <c r="H6" s="61"/>
      <c r="I6" s="62"/>
      <c r="J6" s="62"/>
      <c r="K6" s="61"/>
      <c r="L6" s="61"/>
      <c r="M6" s="61"/>
    </row>
    <row r="7" spans="1:13" x14ac:dyDescent="0.2">
      <c r="A7" s="4" t="s">
        <v>8</v>
      </c>
      <c r="B7" s="5">
        <f>VLOOKUP(Table23578916[[#This Row],[TEOs]],'[2]1.1'!$A:$E,4,FALSE)</f>
        <v>8271643.9900000002</v>
      </c>
      <c r="C7" s="5">
        <f>VLOOKUP(Table23578916[[#This Row],[TEOs]],'1.1'!$A:$D,4,FALSE)</f>
        <v>8554384.2591199949</v>
      </c>
      <c r="D7" s="10">
        <f>Table23578916[[#This Row],[RDC Final 
2015]]-Table23578916[[#This Row],[RDC Final 
2014]]</f>
        <v>282740.26911999471</v>
      </c>
      <c r="E7" s="9">
        <f>Table23578916[[#This Row],[Change($)]]/Table23578916[[#This Row],[RDC Final 
2014]]</f>
        <v>3.4181871156666488E-2</v>
      </c>
      <c r="H7" s="61"/>
      <c r="I7" s="62"/>
      <c r="J7" s="62"/>
      <c r="K7" s="61"/>
      <c r="L7" s="61"/>
      <c r="M7" s="61"/>
    </row>
    <row r="8" spans="1:13" x14ac:dyDescent="0.2">
      <c r="A8" s="4" t="s">
        <v>7</v>
      </c>
      <c r="B8" s="5">
        <f>VLOOKUP(Table23578916[[#This Row],[TEOs]],'[2]1.1'!$A:$E,4,FALSE)</f>
        <v>7939169.0300000003</v>
      </c>
      <c r="C8" s="5">
        <f>VLOOKUP(Table23578916[[#This Row],[TEOs]],'1.1'!$A:$D,4,FALSE)</f>
        <v>8680947.0754127074</v>
      </c>
      <c r="D8" s="10">
        <f>Table23578916[[#This Row],[RDC Final 
2015]]-Table23578916[[#This Row],[RDC Final 
2014]]</f>
        <v>741778.04541270714</v>
      </c>
      <c r="E8" s="9">
        <f>Table23578916[[#This Row],[Change($)]]/Table23578916[[#This Row],[RDC Final 
2014]]</f>
        <v>9.3432705943118977E-2</v>
      </c>
      <c r="H8" s="61"/>
      <c r="I8" s="62"/>
      <c r="J8" s="62"/>
      <c r="K8" s="61"/>
      <c r="L8" s="61"/>
      <c r="M8" s="61"/>
    </row>
    <row r="9" spans="1:13" x14ac:dyDescent="0.2">
      <c r="A9" s="4" t="s">
        <v>37</v>
      </c>
      <c r="B9" s="5">
        <f>VLOOKUP(Table23578916[[#This Row],[TEOs]],'[2]1.1'!$A:$E,4,FALSE)</f>
        <v>6886564.6100000003</v>
      </c>
      <c r="C9" s="5">
        <f>VLOOKUP(Table23578916[[#This Row],[TEOs]],'1.1'!$A:$D,4,FALSE)</f>
        <v>8026513.3069554335</v>
      </c>
      <c r="D9" s="10">
        <f>Table23578916[[#This Row],[RDC Final 
2015]]-Table23578916[[#This Row],[RDC Final 
2014]]</f>
        <v>1139948.6969554331</v>
      </c>
      <c r="E9" s="9">
        <f>Table23578916[[#This Row],[Change($)]]/Table23578916[[#This Row],[RDC Final 
2014]]</f>
        <v>0.16553227356643258</v>
      </c>
      <c r="H9" s="61"/>
      <c r="I9" s="62"/>
      <c r="J9" s="62"/>
      <c r="K9" s="62"/>
      <c r="L9" s="61"/>
      <c r="M9" s="61"/>
    </row>
    <row r="10" spans="1:13" x14ac:dyDescent="0.2">
      <c r="A10" s="4" t="s">
        <v>9</v>
      </c>
      <c r="B10" s="5">
        <f>VLOOKUP(Table23578916[[#This Row],[TEOs]],'[2]1.1'!$A:$E,4,FALSE)</f>
        <v>4347758.83</v>
      </c>
      <c r="C10" s="5">
        <f>VLOOKUP(Table23578916[[#This Row],[TEOs]],'1.1'!$A:$D,4,FALSE)</f>
        <v>4108967.5921145855</v>
      </c>
      <c r="D10" s="10">
        <f>Table23578916[[#This Row],[RDC Final 
2015]]-Table23578916[[#This Row],[RDC Final 
2014]]</f>
        <v>-238791.23788541462</v>
      </c>
      <c r="E10" s="9">
        <f>Table23578916[[#This Row],[Change($)]]/Table23578916[[#This Row],[RDC Final 
2014]]</f>
        <v>-5.4922834320461751E-2</v>
      </c>
      <c r="H10" s="61"/>
      <c r="I10" s="61"/>
      <c r="J10" s="61"/>
      <c r="K10" s="61"/>
      <c r="L10" s="61"/>
      <c r="M10" s="61"/>
    </row>
    <row r="11" spans="1:13" x14ac:dyDescent="0.2">
      <c r="A11" s="4" t="s">
        <v>11</v>
      </c>
      <c r="B11" s="5">
        <f>VLOOKUP(Table23578916[[#This Row],[TEOs]],'[2]1.1'!$A:$E,4,FALSE)</f>
        <v>4113306.56</v>
      </c>
      <c r="C11" s="5">
        <f>VLOOKUP(Table23578916[[#This Row],[TEOs]],'1.1'!$A:$D,4,FALSE)</f>
        <v>4486377.2091204291</v>
      </c>
      <c r="D11" s="10">
        <f>Table23578916[[#This Row],[RDC Final 
2015]]-Table23578916[[#This Row],[RDC Final 
2014]]</f>
        <v>373070.64912042907</v>
      </c>
      <c r="E11" s="9">
        <f>Table23578916[[#This Row],[Change($)]]/Table23578916[[#This Row],[RDC Final 
2014]]</f>
        <v>9.0698479113705807E-2</v>
      </c>
      <c r="H11" s="61"/>
      <c r="I11" s="63"/>
      <c r="J11" s="63"/>
      <c r="K11" s="61"/>
      <c r="L11" s="61"/>
      <c r="M11" s="61"/>
    </row>
    <row r="12" spans="1:13" x14ac:dyDescent="0.2">
      <c r="A12" s="4" t="s">
        <v>10</v>
      </c>
      <c r="B12" s="5">
        <f>VLOOKUP(Table23578916[[#This Row],[TEOs]],'[2]1.1'!$A:$E,4,FALSE)</f>
        <v>2125263.08</v>
      </c>
      <c r="C12" s="5">
        <f>VLOOKUP(Table23578916[[#This Row],[TEOs]],'1.1'!$A:$D,4,FALSE)</f>
        <v>2367180.4310482806</v>
      </c>
      <c r="D12" s="10">
        <f>Table23578916[[#This Row],[RDC Final 
2015]]-Table23578916[[#This Row],[RDC Final 
2014]]</f>
        <v>241917.35104828048</v>
      </c>
      <c r="E12" s="9">
        <f>Table23578916[[#This Row],[Change($)]]/Table23578916[[#This Row],[RDC Final 
2014]]</f>
        <v>0.11382936697337276</v>
      </c>
      <c r="H12" s="61"/>
      <c r="I12" s="63"/>
      <c r="J12" s="63"/>
      <c r="K12" s="61"/>
      <c r="L12" s="61"/>
      <c r="M12" s="61"/>
    </row>
    <row r="13" spans="1:13" x14ac:dyDescent="0.2">
      <c r="A13" s="4" t="s">
        <v>12</v>
      </c>
      <c r="B13" s="5">
        <f>VLOOKUP(Table23578916[[#This Row],[TEOs]],'[2]1.1'!$A:$E,4,FALSE)</f>
        <v>1070592.47</v>
      </c>
      <c r="C13" s="5">
        <f>VLOOKUP(Table23578916[[#This Row],[TEOs]],'1.1'!$A:$D,4,FALSE)</f>
        <v>1142395.9470632144</v>
      </c>
      <c r="D13" s="10">
        <f>Table23578916[[#This Row],[RDC Final 
2015]]-Table23578916[[#This Row],[RDC Final 
2014]]</f>
        <v>71803.477063214406</v>
      </c>
      <c r="E13" s="9">
        <f>Table23578916[[#This Row],[Change($)]]/Table23578916[[#This Row],[RDC Final 
2014]]</f>
        <v>6.7068916581502214E-2</v>
      </c>
      <c r="H13" s="61"/>
      <c r="I13" s="63"/>
      <c r="J13" s="63"/>
      <c r="K13" s="61"/>
      <c r="L13" s="61"/>
      <c r="M13" s="61"/>
    </row>
    <row r="14" spans="1:13" x14ac:dyDescent="0.2">
      <c r="A14" s="4" t="s">
        <v>13</v>
      </c>
      <c r="B14" s="5">
        <f>VLOOKUP(Table23578916[[#This Row],[TEOs]],'[2]1.1'!$A:$E,4,FALSE)</f>
        <v>272737.64</v>
      </c>
      <c r="C14" s="5">
        <f>VLOOKUP(Table23578916[[#This Row],[TEOs]],'1.1'!$A:$D,4,FALSE)</f>
        <v>328151.78961214336</v>
      </c>
      <c r="D14" s="10">
        <f>Table23578916[[#This Row],[RDC Final 
2015]]-Table23578916[[#This Row],[RDC Final 
2014]]</f>
        <v>55414.149612143345</v>
      </c>
      <c r="E14" s="9">
        <f>Table23578916[[#This Row],[Change($)]]/Table23578916[[#This Row],[RDC Final 
2014]]</f>
        <v>0.2031774917908043</v>
      </c>
      <c r="H14" s="61"/>
      <c r="I14" s="63"/>
      <c r="J14" s="63"/>
      <c r="K14" s="61"/>
      <c r="L14" s="61"/>
      <c r="M14" s="61"/>
    </row>
    <row r="15" spans="1:13" x14ac:dyDescent="0.2">
      <c r="A15" s="18" t="s">
        <v>40</v>
      </c>
      <c r="B15" s="5">
        <f>VLOOKUP(Table23578916[[#This Row],[TEOs]],'[2]1.1'!$A:$E,4,FALSE)</f>
        <v>202365.49</v>
      </c>
      <c r="C15" s="5">
        <f>VLOOKUP(Table23578916[[#This Row],[TEOs]],'1.1'!$A:$D,4,FALSE)</f>
        <v>316991.35659648821</v>
      </c>
      <c r="D15" s="10">
        <f>Table23578916[[#This Row],[RDC Final 
2015]]-Table23578916[[#This Row],[RDC Final 
2014]]</f>
        <v>114625.86659648822</v>
      </c>
      <c r="E15" s="9">
        <f>Table23578916[[#This Row],[Change($)]]/Table23578916[[#This Row],[RDC Final 
2014]]</f>
        <v>0.56642991152537037</v>
      </c>
      <c r="H15" s="61"/>
      <c r="I15" s="61"/>
      <c r="J15" s="61"/>
      <c r="K15" s="61"/>
      <c r="L15" s="61"/>
      <c r="M15" s="61"/>
    </row>
    <row r="16" spans="1:13" x14ac:dyDescent="0.2">
      <c r="A16" s="4" t="s">
        <v>14</v>
      </c>
      <c r="B16" s="5">
        <f>VLOOKUP(Table23578916[[#This Row],[TEOs]],'[2]1.1'!$A:$E,4,FALSE)</f>
        <v>198901.58</v>
      </c>
      <c r="C16" s="5">
        <f>VLOOKUP(Table23578916[[#This Row],[TEOs]],'1.1'!$A:$D,4,FALSE)</f>
        <v>152214.28275278368</v>
      </c>
      <c r="D16" s="10">
        <f>Table23578916[[#This Row],[RDC Final 
2015]]-Table23578916[[#This Row],[RDC Final 
2014]]</f>
        <v>-46687.297247216309</v>
      </c>
      <c r="E16" s="9">
        <f>Table23578916[[#This Row],[Change($)]]/Table23578916[[#This Row],[RDC Final 
2014]]</f>
        <v>-0.23472562282922194</v>
      </c>
      <c r="H16" s="61"/>
      <c r="I16" s="61"/>
      <c r="J16" s="61"/>
      <c r="K16" s="61"/>
      <c r="L16" s="61"/>
      <c r="M16" s="61"/>
    </row>
    <row r="17" spans="1:5" x14ac:dyDescent="0.2">
      <c r="A17" s="4" t="s">
        <v>17</v>
      </c>
      <c r="B17" s="5">
        <f>VLOOKUP(Table23578916[[#This Row],[TEOs]],'[2]1.1'!$A:$E,4,FALSE)</f>
        <v>65024.35</v>
      </c>
      <c r="C17" s="5">
        <f>VLOOKUP(Table23578916[[#This Row],[TEOs]],'1.1'!$A:$D,4,FALSE)</f>
        <v>78882.641733688302</v>
      </c>
      <c r="D17" s="10">
        <f>Table23578916[[#This Row],[RDC Final 
2015]]-Table23578916[[#This Row],[RDC Final 
2014]]</f>
        <v>13858.291733688304</v>
      </c>
      <c r="E17" s="9">
        <f>Table23578916[[#This Row],[Change($)]]/Table23578916[[#This Row],[RDC Final 
2014]]</f>
        <v>0.2131246484384435</v>
      </c>
    </row>
    <row r="18" spans="1:5" x14ac:dyDescent="0.2">
      <c r="A18" s="4" t="s">
        <v>21</v>
      </c>
      <c r="B18" s="5">
        <f>VLOOKUP(Table23578916[[#This Row],[TEOs]],'[2]1.1'!$A:$E,4,FALSE)</f>
        <v>24915.87</v>
      </c>
      <c r="C18" s="5">
        <f>VLOOKUP(Table23578916[[#This Row],[TEOs]],'1.1'!$A:$D,4,FALSE)</f>
        <v>27170.68770827042</v>
      </c>
      <c r="D18" s="10">
        <f>Table23578916[[#This Row],[RDC Final 
2015]]-Table23578916[[#This Row],[RDC Final 
2014]]</f>
        <v>2254.8177082704206</v>
      </c>
      <c r="E18" s="9">
        <f>Table23578916[[#This Row],[Change($)]]/Table23578916[[#This Row],[RDC Final 
2014]]</f>
        <v>9.0497249675424565E-2</v>
      </c>
    </row>
    <row r="19" spans="1:5" x14ac:dyDescent="0.2">
      <c r="A19" s="4" t="s">
        <v>19</v>
      </c>
      <c r="B19" s="5">
        <f>VLOOKUP(Table23578916[[#This Row],[TEOs]],'[2]1.1'!$A:$E,4,FALSE)</f>
        <v>0</v>
      </c>
      <c r="C19" s="5">
        <f>VLOOKUP(Table23578916[[#This Row],[TEOs]],'1.1'!$A:$D,4,FALSE)</f>
        <v>73799.093710850619</v>
      </c>
      <c r="D19" s="10">
        <f>Table23578916[[#This Row],[RDC Final 
2015]]-Table23578916[[#This Row],[RDC Final 
2014]]</f>
        <v>73799.093710850619</v>
      </c>
      <c r="E19" s="9"/>
    </row>
    <row r="20" spans="1:5" x14ac:dyDescent="0.2">
      <c r="A20" s="4" t="s">
        <v>15</v>
      </c>
      <c r="B20" s="5">
        <f>VLOOKUP(Table23578916[[#This Row],[TEOs]],'[2]1.1'!$A:$E,4,FALSE)</f>
        <v>0</v>
      </c>
      <c r="C20" s="5">
        <f>VLOOKUP(Table23578916[[#This Row],[TEOs]],'1.1'!$A:$D,4,FALSE)</f>
        <v>0</v>
      </c>
      <c r="D20" s="10">
        <f>Table23578916[[#This Row],[RDC Final 
2015]]-Table23578916[[#This Row],[RDC Final 
2014]]</f>
        <v>0</v>
      </c>
      <c r="E20" s="9"/>
    </row>
    <row r="21" spans="1:5" x14ac:dyDescent="0.2">
      <c r="A21" s="4" t="s">
        <v>41</v>
      </c>
      <c r="B21" s="5">
        <f>VLOOKUP(Table23578916[[#This Row],[TEOs]],'[2]1.1'!$A:$E,4,FALSE)</f>
        <v>0</v>
      </c>
      <c r="C21" s="5">
        <f>VLOOKUP(Table23578916[[#This Row],[TEOs]],'1.1'!$A:$D,4,FALSE)</f>
        <v>0</v>
      </c>
      <c r="D21" s="10">
        <f>Table23578916[[#This Row],[RDC Final 
2015]]-Table23578916[[#This Row],[RDC Final 
2014]]</f>
        <v>0</v>
      </c>
      <c r="E21" s="9"/>
    </row>
    <row r="22" spans="1:5" x14ac:dyDescent="0.2">
      <c r="A22" s="4" t="s">
        <v>42</v>
      </c>
      <c r="B22" s="5">
        <f>VLOOKUP(Table23578916[[#This Row],[TEOs]],'[2]1.1'!$A:$E,4,FALSE)</f>
        <v>0</v>
      </c>
      <c r="C22" s="5">
        <f>VLOOKUP(Table23578916[[#This Row],[TEOs]],'1.1'!$A:$D,4,FALSE)</f>
        <v>0</v>
      </c>
      <c r="D22" s="10">
        <f>Table23578916[[#This Row],[RDC Final 
2015]]-Table23578916[[#This Row],[RDC Final 
2014]]</f>
        <v>0</v>
      </c>
      <c r="E22" s="9"/>
    </row>
    <row r="23" spans="1:5" x14ac:dyDescent="0.2">
      <c r="A23" s="4" t="s">
        <v>43</v>
      </c>
      <c r="B23" s="5">
        <f>VLOOKUP(Table23578916[[#This Row],[TEOs]],'[2]1.1'!$A:$E,4,FALSE)</f>
        <v>0</v>
      </c>
      <c r="C23" s="5">
        <f>VLOOKUP(Table23578916[[#This Row],[TEOs]],'1.1'!$A:$D,4,FALSE)</f>
        <v>0</v>
      </c>
      <c r="D23" s="10">
        <f>Table23578916[[#This Row],[RDC Final 
2015]]-Table23578916[[#This Row],[RDC Final 
2014]]</f>
        <v>0</v>
      </c>
      <c r="E23" s="9"/>
    </row>
    <row r="24" spans="1:5" x14ac:dyDescent="0.2">
      <c r="A24" s="4" t="s">
        <v>16</v>
      </c>
      <c r="B24" s="5">
        <f>VLOOKUP(Table23578916[[#This Row],[TEOs]],'[2]1.1'!$A:$E,4,FALSE)</f>
        <v>0</v>
      </c>
      <c r="C24" s="5">
        <f>VLOOKUP(Table23578916[[#This Row],[TEOs]],'1.1'!$A:$D,4,FALSE)</f>
        <v>0</v>
      </c>
      <c r="D24" s="10">
        <f>Table23578916[[#This Row],[RDC Final 
2015]]-Table23578916[[#This Row],[RDC Final 
2014]]</f>
        <v>0</v>
      </c>
      <c r="E24" s="9"/>
    </row>
    <row r="25" spans="1:5" x14ac:dyDescent="0.2">
      <c r="A25" s="4" t="s">
        <v>18</v>
      </c>
      <c r="B25" s="5">
        <f>VLOOKUP(Table23578916[[#This Row],[TEOs]],'[2]1.1'!$A:$E,4,FALSE)</f>
        <v>0</v>
      </c>
      <c r="C25" s="5">
        <f>VLOOKUP(Table23578916[[#This Row],[TEOs]],'1.1'!$A:$D,4,FALSE)</f>
        <v>0</v>
      </c>
      <c r="D25" s="10">
        <f>Table23578916[[#This Row],[RDC Final 
2015]]-Table23578916[[#This Row],[RDC Final 
2014]]</f>
        <v>0</v>
      </c>
      <c r="E25" s="9"/>
    </row>
    <row r="26" spans="1:5" x14ac:dyDescent="0.2">
      <c r="A26" s="4" t="s">
        <v>20</v>
      </c>
      <c r="B26" s="5">
        <f>VLOOKUP(Table23578916[[#This Row],[TEOs]],'[2]1.1'!$A:$E,4,FALSE)</f>
        <v>0</v>
      </c>
      <c r="C26" s="5">
        <f>VLOOKUP(Table23578916[[#This Row],[TEOs]],'1.1'!$A:$D,4,FALSE)</f>
        <v>0</v>
      </c>
      <c r="D26" s="10">
        <f>Table23578916[[#This Row],[RDC Final 
2015]]-Table23578916[[#This Row],[RDC Final 
2014]]</f>
        <v>0</v>
      </c>
      <c r="E26" s="9"/>
    </row>
    <row r="27" spans="1:5" x14ac:dyDescent="0.2">
      <c r="A27" s="4" t="s">
        <v>22</v>
      </c>
      <c r="B27" s="5">
        <f>VLOOKUP(Table23578916[[#This Row],[TEOs]],'[2]1.1'!$A:$E,4,FALSE)</f>
        <v>0</v>
      </c>
      <c r="C27" s="5">
        <f>VLOOKUP(Table23578916[[#This Row],[TEOs]],'1.1'!$A:$D,4,FALSE)</f>
        <v>0</v>
      </c>
      <c r="D27" s="10">
        <f>Table23578916[[#This Row],[RDC Final 
2015]]-Table23578916[[#This Row],[RDC Final 
2014]]</f>
        <v>0</v>
      </c>
      <c r="E27" s="9"/>
    </row>
    <row r="28" spans="1:5" x14ac:dyDescent="0.2">
      <c r="A28" s="4" t="s">
        <v>23</v>
      </c>
      <c r="B28" s="5">
        <f>VLOOKUP(Table23578916[[#This Row],[TEOs]],'[2]1.1'!$A:$E,4,FALSE)</f>
        <v>0</v>
      </c>
      <c r="C28" s="5">
        <f>VLOOKUP(Table23578916[[#This Row],[TEOs]],'1.1'!$A:$D,4,FALSE)</f>
        <v>0</v>
      </c>
      <c r="D28" s="10">
        <f>Table23578916[[#This Row],[RDC Final 
2015]]-Table23578916[[#This Row],[RDC Final 
2014]]</f>
        <v>0</v>
      </c>
      <c r="E28" s="9"/>
    </row>
    <row r="29" spans="1:5" x14ac:dyDescent="0.2">
      <c r="A29" s="4" t="s">
        <v>24</v>
      </c>
      <c r="B29" s="5">
        <f>VLOOKUP(Table23578916[[#This Row],[TEOs]],'[2]1.1'!$A:$E,4,FALSE)</f>
        <v>0</v>
      </c>
      <c r="C29" s="5">
        <f>VLOOKUP(Table23578916[[#This Row],[TEOs]],'1.1'!$A:$D,4,FALSE)</f>
        <v>0</v>
      </c>
      <c r="D29" s="10">
        <f>Table23578916[[#This Row],[RDC Final 
2015]]-Table23578916[[#This Row],[RDC Final 
2014]]</f>
        <v>0</v>
      </c>
      <c r="E29" s="9"/>
    </row>
    <row r="30" spans="1:5" x14ac:dyDescent="0.2">
      <c r="A30" s="4" t="s">
        <v>25</v>
      </c>
      <c r="B30" s="5">
        <f>VLOOKUP(Table23578916[[#This Row],[TEOs]],'[2]1.1'!$A:$E,4,FALSE)</f>
        <v>0</v>
      </c>
      <c r="C30" s="5">
        <f>VLOOKUP(Table23578916[[#This Row],[TEOs]],'1.1'!$A:$D,4,FALSE)</f>
        <v>0</v>
      </c>
      <c r="D30" s="10">
        <f>Table23578916[[#This Row],[RDC Final 
2015]]-Table23578916[[#This Row],[RDC Final 
2014]]</f>
        <v>0</v>
      </c>
      <c r="E30" s="9"/>
    </row>
    <row r="31" spans="1:5" x14ac:dyDescent="0.2">
      <c r="A31" s="4" t="s">
        <v>26</v>
      </c>
      <c r="B31" s="5">
        <f>VLOOKUP(Table23578916[[#This Row],[TEOs]],'[2]1.1'!$A:$E,4,FALSE)</f>
        <v>0</v>
      </c>
      <c r="C31" s="5">
        <f>VLOOKUP(Table23578916[[#This Row],[TEOs]],'1.1'!$A:$D,4,FALSE)</f>
        <v>0</v>
      </c>
      <c r="D31" s="10">
        <f>Table23578916[[#This Row],[RDC Final 
2015]]-Table23578916[[#This Row],[RDC Final 
2014]]</f>
        <v>0</v>
      </c>
      <c r="E31" s="9"/>
    </row>
    <row r="32" spans="1:5" x14ac:dyDescent="0.2">
      <c r="A32" s="7" t="s">
        <v>27</v>
      </c>
      <c r="B32" s="6">
        <f>SUBTOTAL(109,B5:B31)</f>
        <v>68750000</v>
      </c>
      <c r="C32" s="6">
        <f t="shared" ref="C32:D32" si="0">SUBTOTAL(109,C5:C31)</f>
        <v>71874999.999999985</v>
      </c>
      <c r="D32" s="6">
        <f t="shared" si="0"/>
        <v>3124999.9999999963</v>
      </c>
      <c r="E32" s="14">
        <f>Table23578916[[#This Row],[Change($)]]/Table23578916[[#This Row],[RDC Final 
2014]]</f>
        <v>4.54545454545454E-2</v>
      </c>
    </row>
  </sheetData>
  <pageMargins left="0.70866141732283472" right="0.70866141732283472" top="0.74803149606299213" bottom="0.74803149606299213" header="0.31496062992125984" footer="0.31496062992125984"/>
  <pageSetup paperSize="9" scale="91"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2"/>
  <sheetViews>
    <sheetView workbookViewId="0">
      <selection activeCell="A9" sqref="A9"/>
    </sheetView>
  </sheetViews>
  <sheetFormatPr defaultRowHeight="15" x14ac:dyDescent="0.2"/>
  <cols>
    <col min="1" max="1" width="30.88671875" bestFit="1" customWidth="1"/>
    <col min="2" max="5" width="10.44140625" customWidth="1"/>
  </cols>
  <sheetData>
    <row r="2" spans="1:8" ht="15.75" x14ac:dyDescent="0.25">
      <c r="A2" s="1" t="s">
        <v>183</v>
      </c>
      <c r="H2" s="2" t="s">
        <v>0</v>
      </c>
    </row>
    <row r="4" spans="1:8" ht="35.25" customHeight="1" x14ac:dyDescent="0.2">
      <c r="A4" s="3" t="s">
        <v>2</v>
      </c>
      <c r="B4" s="3" t="s">
        <v>184</v>
      </c>
      <c r="C4" s="3" t="s">
        <v>185</v>
      </c>
      <c r="D4" s="3" t="s">
        <v>30</v>
      </c>
      <c r="E4" s="3" t="s">
        <v>31</v>
      </c>
      <c r="F4" s="86" t="s">
        <v>1</v>
      </c>
    </row>
    <row r="5" spans="1:8" x14ac:dyDescent="0.2">
      <c r="A5" s="4" t="s">
        <v>6</v>
      </c>
      <c r="B5" s="5">
        <f>VLOOKUP(Table2357891618[[#This Row],[Edumis]],'[3]2015 PBRF Indicative Allocation'!$A:$I,9,FALSE)</f>
        <v>21965986.215604935</v>
      </c>
      <c r="C5" s="5">
        <f>VLOOKUP(Table2357891618[[#This Row],[TEOs]],'1.1'!$A:$D,4,FALSE)</f>
        <v>21688869.992057454</v>
      </c>
      <c r="D5" s="10">
        <f>Table2357891618[[#This Row],[RDC 2015
 Final]]-Table2357891618[[#This Row],[RDC 2015 Indicative]]</f>
        <v>-277116.223547481</v>
      </c>
      <c r="E5" s="9">
        <f>Table2357891618[[#This Row],[Change($)]]/Table2357891618[[#This Row],[RDC 2015 Indicative]]</f>
        <v>-1.2615696870036906E-2</v>
      </c>
      <c r="F5" s="97">
        <f>VLOOKUP(Table2357891618[[#This Row],[TEOs]],'1.1'!$A:$F,6,FALSE)</f>
        <v>7001</v>
      </c>
    </row>
    <row r="6" spans="1:8" x14ac:dyDescent="0.2">
      <c r="A6" s="4" t="s">
        <v>38</v>
      </c>
      <c r="B6" s="5">
        <f>VLOOKUP(Table2357891618[[#This Row],[Edumis]],'[3]2015 PBRF Indicative Allocation'!$A:$I,9,FALSE)</f>
        <v>11786009.506619008</v>
      </c>
      <c r="C6" s="5">
        <f>VLOOKUP(Table2357891618[[#This Row],[TEOs]],'1.1'!$A:$D,4,FALSE)</f>
        <v>11842154.334993675</v>
      </c>
      <c r="D6" s="10">
        <f>Table2357891618[[#This Row],[RDC 2015
 Final]]-Table2357891618[[#This Row],[RDC 2015 Indicative]]</f>
        <v>56144.828374667093</v>
      </c>
      <c r="E6" s="9">
        <f>Table2357891618[[#This Row],[Change($)]]/Table2357891618[[#This Row],[RDC 2015 Indicative]]</f>
        <v>4.7636842939195179E-3</v>
      </c>
      <c r="F6" s="97">
        <f>VLOOKUP(Table2357891618[[#This Row],[TEOs]],'1.1'!$A:$F,6,FALSE)</f>
        <v>7007</v>
      </c>
    </row>
    <row r="7" spans="1:8" x14ac:dyDescent="0.2">
      <c r="A7" s="4" t="s">
        <v>8</v>
      </c>
      <c r="B7" s="5">
        <f>VLOOKUP(Table2357891618[[#This Row],[Edumis]],'[3]2015 PBRF Indicative Allocation'!$A:$I,9,FALSE)</f>
        <v>8544331.8453525063</v>
      </c>
      <c r="C7" s="5">
        <f>VLOOKUP(Table2357891618[[#This Row],[TEOs]],'1.1'!$A:$D,4,FALSE)</f>
        <v>8554384.2591199949</v>
      </c>
      <c r="D7" s="10">
        <f>Table2357891618[[#This Row],[RDC 2015
 Final]]-Table2357891618[[#This Row],[RDC 2015 Indicative]]</f>
        <v>10052.413767488673</v>
      </c>
      <c r="E7" s="9">
        <f>Table2357891618[[#This Row],[Change($)]]/Table2357891618[[#This Row],[RDC 2015 Indicative]]</f>
        <v>1.1765008603869306E-3</v>
      </c>
      <c r="F7" s="97">
        <f>VLOOKUP(Table2357891618[[#This Row],[TEOs]],'1.1'!$A:$F,6,FALSE)</f>
        <v>7004</v>
      </c>
    </row>
    <row r="8" spans="1:8" x14ac:dyDescent="0.2">
      <c r="A8" s="4" t="s">
        <v>7</v>
      </c>
      <c r="B8" s="5">
        <f>VLOOKUP(Table2357891618[[#This Row],[Edumis]],'[3]2015 PBRF Indicative Allocation'!$A:$I,9,FALSE)</f>
        <v>8624790.5629909448</v>
      </c>
      <c r="C8" s="5">
        <f>VLOOKUP(Table2357891618[[#This Row],[TEOs]],'1.1'!$A:$D,4,FALSE)</f>
        <v>8680947.0754127074</v>
      </c>
      <c r="D8" s="10">
        <f>Table2357891618[[#This Row],[RDC 2015
 Final]]-Table2357891618[[#This Row],[RDC 2015 Indicative]]</f>
        <v>56156.512421762571</v>
      </c>
      <c r="E8" s="9">
        <f>Table2357891618[[#This Row],[Change($)]]/Table2357891618[[#This Row],[RDC 2015 Indicative]]</f>
        <v>6.5110580960343178E-3</v>
      </c>
      <c r="F8" s="97">
        <f>VLOOKUP(Table2357891618[[#This Row],[TEOs]],'1.1'!$A:$F,6,FALSE)</f>
        <v>7003</v>
      </c>
    </row>
    <row r="9" spans="1:8" x14ac:dyDescent="0.2">
      <c r="A9" s="4" t="s">
        <v>37</v>
      </c>
      <c r="B9" s="5">
        <f>VLOOKUP(Table2357891618[[#This Row],[Edumis]],'[3]2015 PBRF Indicative Allocation'!$A:$I,9,FALSE)</f>
        <v>7991534.4953883272</v>
      </c>
      <c r="C9" s="5">
        <f>VLOOKUP(Table2357891618[[#This Row],[TEOs]],'1.1'!$A:$D,4,FALSE)</f>
        <v>8026513.3069554335</v>
      </c>
      <c r="D9" s="10">
        <f>Table2357891618[[#This Row],[RDC 2015
 Final]]-Table2357891618[[#This Row],[RDC 2015 Indicative]]</f>
        <v>34978.811567106284</v>
      </c>
      <c r="E9" s="9">
        <f>Table2357891618[[#This Row],[Change($)]]/Table2357891618[[#This Row],[RDC 2015 Indicative]]</f>
        <v>4.3769831172338052E-3</v>
      </c>
      <c r="F9" s="97">
        <f>VLOOKUP(Table2357891618[[#This Row],[TEOs]],'1.1'!$A:$F,6,FALSE)</f>
        <v>7005</v>
      </c>
    </row>
    <row r="10" spans="1:8" x14ac:dyDescent="0.2">
      <c r="A10" s="4" t="s">
        <v>9</v>
      </c>
      <c r="B10" s="5">
        <f>VLOOKUP(Table2357891618[[#This Row],[Edumis]],'[3]2015 PBRF Indicative Allocation'!$A:$I,9,FALSE)</f>
        <v>4091061.0868060454</v>
      </c>
      <c r="C10" s="5">
        <f>VLOOKUP(Table2357891618[[#This Row],[TEOs]],'1.1'!$A:$D,4,FALSE)</f>
        <v>4108967.5921145855</v>
      </c>
      <c r="D10" s="10">
        <f>Table2357891618[[#This Row],[RDC 2015
 Final]]-Table2357891618[[#This Row],[RDC 2015 Indicative]]</f>
        <v>17906.505308540072</v>
      </c>
      <c r="E10" s="9">
        <f>Table2357891618[[#This Row],[Change($)]]/Table2357891618[[#This Row],[RDC 2015 Indicative]]</f>
        <v>4.3769831172381628E-3</v>
      </c>
      <c r="F10" s="97">
        <f>VLOOKUP(Table2357891618[[#This Row],[TEOs]],'1.1'!$A:$F,6,FALSE)</f>
        <v>7002</v>
      </c>
    </row>
    <row r="11" spans="1:8" x14ac:dyDescent="0.2">
      <c r="A11" s="4" t="s">
        <v>11</v>
      </c>
      <c r="B11" s="5">
        <f>VLOOKUP(Table2357891618[[#This Row],[Edumis]],'[3]2015 PBRF Indicative Allocation'!$A:$I,9,FALSE)</f>
        <v>4464440.7323617283</v>
      </c>
      <c r="C11" s="5">
        <f>VLOOKUP(Table2357891618[[#This Row],[TEOs]],'1.1'!$A:$D,4,FALSE)</f>
        <v>4486377.2091204291</v>
      </c>
      <c r="D11" s="10">
        <f>Table2357891618[[#This Row],[RDC 2015
 Final]]-Table2357891618[[#This Row],[RDC 2015 Indicative]]</f>
        <v>21936.476758700795</v>
      </c>
      <c r="E11" s="9">
        <f>Table2357891618[[#This Row],[Change($)]]/Table2357891618[[#This Row],[RDC 2015 Indicative]]</f>
        <v>4.9136001738556414E-3</v>
      </c>
      <c r="F11" s="97">
        <f>VLOOKUP(Table2357891618[[#This Row],[TEOs]],'1.1'!$A:$F,6,FALSE)</f>
        <v>7008</v>
      </c>
    </row>
    <row r="12" spans="1:8" x14ac:dyDescent="0.2">
      <c r="A12" s="4" t="s">
        <v>10</v>
      </c>
      <c r="B12" s="5">
        <f>VLOOKUP(Table2357891618[[#This Row],[Edumis]],'[3]2015 PBRF Indicative Allocation'!$A:$I,9,FALSE)</f>
        <v>2356864.4750314509</v>
      </c>
      <c r="C12" s="5">
        <f>VLOOKUP(Table2357891618[[#This Row],[TEOs]],'1.1'!$A:$D,4,FALSE)</f>
        <v>2367180.4310482806</v>
      </c>
      <c r="D12" s="10">
        <f>Table2357891618[[#This Row],[RDC 2015
 Final]]-Table2357891618[[#This Row],[RDC 2015 Indicative]]</f>
        <v>10315.956016829703</v>
      </c>
      <c r="E12" s="9">
        <f>Table2357891618[[#This Row],[Change($)]]/Table2357891618[[#This Row],[RDC 2015 Indicative]]</f>
        <v>4.376983117237593E-3</v>
      </c>
      <c r="F12" s="97">
        <f>VLOOKUP(Table2357891618[[#This Row],[TEOs]],'1.1'!$A:$F,6,FALSE)</f>
        <v>7006</v>
      </c>
    </row>
    <row r="13" spans="1:8" x14ac:dyDescent="0.2">
      <c r="A13" s="4" t="s">
        <v>12</v>
      </c>
      <c r="B13" s="5">
        <f>VLOOKUP(Table2357891618[[#This Row],[Edumis]],'[3]2015 PBRF Indicative Allocation'!$A:$I,9,FALSE)</f>
        <v>1150507.3029774376</v>
      </c>
      <c r="C13" s="5">
        <f>VLOOKUP(Table2357891618[[#This Row],[TEOs]],'1.1'!$A:$D,4,FALSE)</f>
        <v>1142395.9470632144</v>
      </c>
      <c r="D13" s="10">
        <f>Table2357891618[[#This Row],[RDC 2015
 Final]]-Table2357891618[[#This Row],[RDC 2015 Indicative]]</f>
        <v>-8111.3559142232407</v>
      </c>
      <c r="E13" s="9">
        <f>Table2357891618[[#This Row],[Change($)]]/Table2357891618[[#This Row],[RDC 2015 Indicative]]</f>
        <v>-7.0502428739318583E-3</v>
      </c>
      <c r="F13" s="97">
        <f>VLOOKUP(Table2357891618[[#This Row],[TEOs]],'1.1'!$A:$F,6,FALSE)</f>
        <v>6004</v>
      </c>
    </row>
    <row r="14" spans="1:8" x14ac:dyDescent="0.2">
      <c r="A14" s="4" t="s">
        <v>13</v>
      </c>
      <c r="B14" s="5">
        <f>VLOOKUP(Table2357891618[[#This Row],[Edumis]],'[3]2015 PBRF Indicative Allocation'!$A:$I,9,FALSE)</f>
        <v>326721.73409796209</v>
      </c>
      <c r="C14" s="5">
        <f>VLOOKUP(Table2357891618[[#This Row],[TEOs]],'1.1'!$A:$D,4,FALSE)</f>
        <v>328151.78961214336</v>
      </c>
      <c r="D14" s="10">
        <f>Table2357891618[[#This Row],[RDC 2015
 Final]]-Table2357891618[[#This Row],[RDC 2015 Indicative]]</f>
        <v>1430.0555141812656</v>
      </c>
      <c r="E14" s="9">
        <f>Table2357891618[[#This Row],[Change($)]]/Table2357891618[[#This Row],[RDC 2015 Indicative]]</f>
        <v>4.3769831172372729E-3</v>
      </c>
      <c r="F14" s="97">
        <f>VLOOKUP(Table2357891618[[#This Row],[TEOs]],'1.1'!$A:$F,6,FALSE)</f>
        <v>6019</v>
      </c>
    </row>
    <row r="15" spans="1:8" x14ac:dyDescent="0.2">
      <c r="A15" s="18" t="s">
        <v>40</v>
      </c>
      <c r="B15" s="5">
        <f>VLOOKUP(Table2357891618[[#This Row],[Edumis]],'[3]2015 PBRF Indicative Allocation'!$A:$I,9,FALSE)</f>
        <v>315609.93722960178</v>
      </c>
      <c r="C15" s="5">
        <f>VLOOKUP(Table2357891618[[#This Row],[TEOs]],'1.1'!$A:$D,4,FALSE)</f>
        <v>316991.35659648821</v>
      </c>
      <c r="D15" s="10">
        <f>Table2357891618[[#This Row],[RDC 2015
 Final]]-Table2357891618[[#This Row],[RDC 2015 Indicative]]</f>
        <v>1381.4193668864318</v>
      </c>
      <c r="E15" s="9">
        <f>Table2357891618[[#This Row],[Change($)]]/Table2357891618[[#This Row],[RDC 2015 Indicative]]</f>
        <v>4.3769831172377465E-3</v>
      </c>
      <c r="F15" s="97">
        <f>VLOOKUP(Table2357891618[[#This Row],[TEOs]],'1.1'!$A:$F,6,FALSE)</f>
        <v>9386</v>
      </c>
    </row>
    <row r="16" spans="1:8" x14ac:dyDescent="0.2">
      <c r="A16" s="4" t="s">
        <v>14</v>
      </c>
      <c r="B16" s="5">
        <f>VLOOKUP(Table2357891618[[#This Row],[Edumis]],'[3]2015 PBRF Indicative Allocation'!$A:$I,9,FALSE)</f>
        <v>151550.94681716364</v>
      </c>
      <c r="C16" s="5">
        <f>VLOOKUP(Table2357891618[[#This Row],[TEOs]],'1.1'!$A:$D,4,FALSE)</f>
        <v>152214.28275278368</v>
      </c>
      <c r="D16" s="10">
        <f>Table2357891618[[#This Row],[RDC 2015
 Final]]-Table2357891618[[#This Row],[RDC 2015 Indicative]]</f>
        <v>663.33593562003807</v>
      </c>
      <c r="E16" s="9">
        <f>Table2357891618[[#This Row],[Change($)]]/Table2357891618[[#This Row],[RDC 2015 Indicative]]</f>
        <v>4.3769831172372001E-3</v>
      </c>
      <c r="F16" s="97">
        <f>VLOOKUP(Table2357891618[[#This Row],[TEOs]],'1.1'!$A:$F,6,FALSE)</f>
        <v>6013</v>
      </c>
    </row>
    <row r="17" spans="1:6" x14ac:dyDescent="0.2">
      <c r="A17" s="4" t="s">
        <v>17</v>
      </c>
      <c r="B17" s="5">
        <f>VLOOKUP(Table2357891618[[#This Row],[Edumis]],'[3]2015 PBRF Indicative Allocation'!$A:$I,9,FALSE)</f>
        <v>78538.878388933168</v>
      </c>
      <c r="C17" s="5">
        <f>VLOOKUP(Table2357891618[[#This Row],[TEOs]],'1.1'!$A:$D,4,FALSE)</f>
        <v>78882.641733688302</v>
      </c>
      <c r="D17" s="10">
        <f>Table2357891618[[#This Row],[RDC 2015
 Final]]-Table2357891618[[#This Row],[RDC 2015 Indicative]]</f>
        <v>343.76334475513431</v>
      </c>
      <c r="E17" s="9">
        <f>Table2357891618[[#This Row],[Change($)]]/Table2357891618[[#This Row],[RDC 2015 Indicative]]</f>
        <v>4.37698311723756E-3</v>
      </c>
      <c r="F17" s="97">
        <f>VLOOKUP(Table2357891618[[#This Row],[TEOs]],'1.1'!$A:$F,6,FALSE)</f>
        <v>8509</v>
      </c>
    </row>
    <row r="18" spans="1:6" x14ac:dyDescent="0.2">
      <c r="A18" s="4" t="s">
        <v>21</v>
      </c>
      <c r="B18" s="5">
        <f>VLOOKUP(Table2357891618[[#This Row],[Edumis]],'[3]2015 PBRF Indicative Allocation'!$A:$I,9,FALSE)</f>
        <v>27052.280333965868</v>
      </c>
      <c r="C18" s="5">
        <f>VLOOKUP(Table2357891618[[#This Row],[TEOs]],'1.1'!$A:$D,4,FALSE)</f>
        <v>27170.68770827042</v>
      </c>
      <c r="D18" s="10">
        <f>Table2357891618[[#This Row],[RDC 2015
 Final]]-Table2357891618[[#This Row],[RDC 2015 Indicative]]</f>
        <v>118.40737430455192</v>
      </c>
      <c r="E18" s="9">
        <f>Table2357891618[[#This Row],[Change($)]]/Table2357891618[[#This Row],[RDC 2015 Indicative]]</f>
        <v>4.3769831172377691E-3</v>
      </c>
      <c r="F18" s="97">
        <f>VLOOKUP(Table2357891618[[#This Row],[TEOs]],'1.1'!$A:$F,6,FALSE)</f>
        <v>8563</v>
      </c>
    </row>
    <row r="19" spans="1:6" x14ac:dyDescent="0.2">
      <c r="A19" s="4" t="s">
        <v>19</v>
      </c>
      <c r="B19" s="5">
        <f>VLOOKUP(Table2357891618[[#This Row],[Edumis]],'[3]2015 PBRF Indicative Allocation'!$A:$I,9,FALSE)</f>
        <v>0</v>
      </c>
      <c r="C19" s="5">
        <f>VLOOKUP(Table2357891618[[#This Row],[TEOs]],'1.1'!$A:$D,4,FALSE)</f>
        <v>73799.093710850619</v>
      </c>
      <c r="D19" s="10">
        <f>Table2357891618[[#This Row],[RDC 2015
 Final]]-Table2357891618[[#This Row],[RDC 2015 Indicative]]</f>
        <v>73799.093710850619</v>
      </c>
      <c r="E19" s="9"/>
      <c r="F19" s="97">
        <f>VLOOKUP(Table2357891618[[#This Row],[TEOs]],'1.1'!$A:$F,6,FALSE)</f>
        <v>6007</v>
      </c>
    </row>
    <row r="20" spans="1:6" x14ac:dyDescent="0.2">
      <c r="A20" s="4" t="s">
        <v>15</v>
      </c>
      <c r="B20" s="5">
        <f>VLOOKUP(Table2357891618[[#This Row],[Edumis]],'[3]2015 PBRF Indicative Allocation'!$A:$I,9,FALSE)</f>
        <v>0</v>
      </c>
      <c r="C20" s="5">
        <f>VLOOKUP(Table2357891618[[#This Row],[TEOs]],'1.1'!$A:$D,4,FALSE)</f>
        <v>0</v>
      </c>
      <c r="D20" s="10">
        <f>Table2357891618[[#This Row],[RDC 2015
 Final]]-Table2357891618[[#This Row],[RDC 2015 Indicative]]</f>
        <v>0</v>
      </c>
      <c r="E20" s="9"/>
      <c r="F20" s="97">
        <f>VLOOKUP(Table2357891618[[#This Row],[TEOs]],'1.1'!$A:$F,6,FALSE)</f>
        <v>6010</v>
      </c>
    </row>
    <row r="21" spans="1:6" x14ac:dyDescent="0.2">
      <c r="A21" s="4" t="s">
        <v>16</v>
      </c>
      <c r="B21" s="5">
        <f>VLOOKUP(Table2357891618[[#This Row],[Edumis]],'[3]2015 PBRF Indicative Allocation'!$A:$I,9,FALSE)</f>
        <v>0</v>
      </c>
      <c r="C21" s="5">
        <f>VLOOKUP(Table2357891618[[#This Row],[TEOs]],'1.1'!$A:$D,4,FALSE)</f>
        <v>0</v>
      </c>
      <c r="D21" s="10">
        <f>Table2357891618[[#This Row],[RDC 2015
 Final]]-Table2357891618[[#This Row],[RDC 2015 Indicative]]</f>
        <v>0</v>
      </c>
      <c r="E21" s="9"/>
      <c r="F21" s="97">
        <f>VLOOKUP(Table2357891618[[#This Row],[TEOs]],'1.1'!$A:$F,6,FALSE)</f>
        <v>6006</v>
      </c>
    </row>
    <row r="22" spans="1:6" x14ac:dyDescent="0.2">
      <c r="A22" s="4" t="s">
        <v>18</v>
      </c>
      <c r="B22" s="5">
        <f>VLOOKUP(Table2357891618[[#This Row],[Edumis]],'[3]2015 PBRF Indicative Allocation'!$A:$I,9,FALSE)</f>
        <v>0</v>
      </c>
      <c r="C22" s="5">
        <f>VLOOKUP(Table2357891618[[#This Row],[TEOs]],'1.1'!$A:$D,4,FALSE)</f>
        <v>0</v>
      </c>
      <c r="D22" s="10">
        <f>Table2357891618[[#This Row],[RDC 2015
 Final]]-Table2357891618[[#This Row],[RDC 2015 Indicative]]</f>
        <v>0</v>
      </c>
      <c r="E22" s="9"/>
      <c r="F22" s="97">
        <f>VLOOKUP(Table2357891618[[#This Row],[TEOs]],'1.1'!$A:$F,6,FALSE)</f>
        <v>6022</v>
      </c>
    </row>
    <row r="23" spans="1:6" x14ac:dyDescent="0.2">
      <c r="A23" s="4" t="s">
        <v>20</v>
      </c>
      <c r="B23" s="5">
        <f>VLOOKUP(Table2357891618[[#This Row],[Edumis]],'[3]2015 PBRF Indicative Allocation'!$A:$I,9,FALSE)</f>
        <v>0</v>
      </c>
      <c r="C23" s="5">
        <f>VLOOKUP(Table2357891618[[#This Row],[TEOs]],'1.1'!$A:$D,4,FALSE)</f>
        <v>0</v>
      </c>
      <c r="D23" s="10">
        <f>Table2357891618[[#This Row],[RDC 2015
 Final]]-Table2357891618[[#This Row],[RDC 2015 Indicative]]</f>
        <v>0</v>
      </c>
      <c r="E23" s="9"/>
      <c r="F23" s="97">
        <f>VLOOKUP(Table2357891618[[#This Row],[TEOs]],'1.1'!$A:$F,6,FALSE)</f>
        <v>6014</v>
      </c>
    </row>
    <row r="24" spans="1:6" x14ac:dyDescent="0.2">
      <c r="A24" s="4" t="s">
        <v>22</v>
      </c>
      <c r="B24" s="5">
        <f>VLOOKUP(Table2357891618[[#This Row],[Edumis]],'[3]2015 PBRF Indicative Allocation'!$A:$I,9,FALSE)</f>
        <v>0</v>
      </c>
      <c r="C24" s="5">
        <f>VLOOKUP(Table2357891618[[#This Row],[TEOs]],'1.1'!$A:$D,4,FALSE)</f>
        <v>0</v>
      </c>
      <c r="D24" s="10">
        <f>Table2357891618[[#This Row],[RDC 2015
 Final]]-Table2357891618[[#This Row],[RDC 2015 Indicative]]</f>
        <v>0</v>
      </c>
      <c r="E24" s="9"/>
      <c r="F24" s="97">
        <f>VLOOKUP(Table2357891618[[#This Row],[TEOs]],'1.1'!$A:$F,6,FALSE)</f>
        <v>6012</v>
      </c>
    </row>
    <row r="25" spans="1:6" x14ac:dyDescent="0.2">
      <c r="A25" s="4" t="s">
        <v>23</v>
      </c>
      <c r="B25" s="5">
        <f>VLOOKUP(Table2357891618[[#This Row],[Edumis]],'[3]2015 PBRF Indicative Allocation'!$A:$I,9,FALSE)</f>
        <v>0</v>
      </c>
      <c r="C25" s="5">
        <f>VLOOKUP(Table2357891618[[#This Row],[TEOs]],'1.1'!$A:$D,4,FALSE)</f>
        <v>0</v>
      </c>
      <c r="D25" s="10">
        <f>Table2357891618[[#This Row],[RDC 2015
 Final]]-Table2357891618[[#This Row],[RDC 2015 Indicative]]</f>
        <v>0</v>
      </c>
      <c r="E25" s="9"/>
      <c r="F25" s="97">
        <f>VLOOKUP(Table2357891618[[#This Row],[TEOs]],'1.1'!$A:$F,6,FALSE)</f>
        <v>8979</v>
      </c>
    </row>
    <row r="26" spans="1:6" x14ac:dyDescent="0.2">
      <c r="A26" s="4" t="s">
        <v>24</v>
      </c>
      <c r="B26" s="5">
        <f>VLOOKUP(Table2357891618[[#This Row],[Edumis]],'[3]2015 PBRF Indicative Allocation'!$A:$I,9,FALSE)</f>
        <v>0</v>
      </c>
      <c r="C26" s="5">
        <f>VLOOKUP(Table2357891618[[#This Row],[TEOs]],'1.1'!$A:$D,4,FALSE)</f>
        <v>0</v>
      </c>
      <c r="D26" s="10">
        <f>Table2357891618[[#This Row],[RDC 2015
 Final]]-Table2357891618[[#This Row],[RDC 2015 Indicative]]</f>
        <v>0</v>
      </c>
      <c r="E26" s="9"/>
      <c r="F26" s="97">
        <f>VLOOKUP(Table2357891618[[#This Row],[TEOs]],'1.1'!$A:$F,6,FALSE)</f>
        <v>8694</v>
      </c>
    </row>
    <row r="27" spans="1:6" x14ac:dyDescent="0.2">
      <c r="A27" s="4" t="s">
        <v>25</v>
      </c>
      <c r="B27" s="5">
        <f>VLOOKUP(Table2357891618[[#This Row],[Edumis]],'[3]2015 PBRF Indicative Allocation'!$A:$I,9,FALSE)</f>
        <v>0</v>
      </c>
      <c r="C27" s="5">
        <f>VLOOKUP(Table2357891618[[#This Row],[TEOs]],'1.1'!$A:$D,4,FALSE)</f>
        <v>0</v>
      </c>
      <c r="D27" s="10">
        <f>Table2357891618[[#This Row],[RDC 2015
 Final]]-Table2357891618[[#This Row],[RDC 2015 Indicative]]</f>
        <v>0</v>
      </c>
      <c r="E27" s="9"/>
      <c r="F27" s="97">
        <f>VLOOKUP(Table2357891618[[#This Row],[TEOs]],'1.1'!$A:$F,6,FALSE)</f>
        <v>8530</v>
      </c>
    </row>
    <row r="28" spans="1:6" x14ac:dyDescent="0.2">
      <c r="A28" s="4" t="s">
        <v>26</v>
      </c>
      <c r="B28" s="5">
        <f>VLOOKUP(Table2357891618[[#This Row],[Edumis]],'[3]2015 PBRF Indicative Allocation'!$A:$I,9,FALSE)</f>
        <v>0</v>
      </c>
      <c r="C28" s="5">
        <f>VLOOKUP(Table2357891618[[#This Row],[TEOs]],'1.1'!$A:$D,4,FALSE)</f>
        <v>0</v>
      </c>
      <c r="D28" s="10">
        <f>Table2357891618[[#This Row],[RDC 2015
 Final]]-Table2357891618[[#This Row],[RDC 2015 Indicative]]</f>
        <v>0</v>
      </c>
      <c r="E28" s="9"/>
      <c r="F28" s="97">
        <f>VLOOKUP(Table2357891618[[#This Row],[TEOs]],'1.1'!$A:$F,6,FALSE)</f>
        <v>8717</v>
      </c>
    </row>
    <row r="29" spans="1:6" x14ac:dyDescent="0.2">
      <c r="A29" s="4" t="s">
        <v>41</v>
      </c>
      <c r="B29" s="5">
        <f>VLOOKUP(Table2357891618[[#This Row],[Edumis]],'[3]2015 PBRF Indicative Allocation'!$A:$I,9,FALSE)</f>
        <v>0</v>
      </c>
      <c r="C29" s="5">
        <f>VLOOKUP(Table2357891618[[#This Row],[TEOs]],'1.1'!$A:$D,4,FALSE)</f>
        <v>0</v>
      </c>
      <c r="D29" s="10">
        <f>Table2357891618[[#This Row],[RDC 2015
 Final]]-Table2357891618[[#This Row],[RDC 2015 Indicative]]</f>
        <v>0</v>
      </c>
      <c r="E29" s="9"/>
      <c r="F29" s="97">
        <f>VLOOKUP(Table2357891618[[#This Row],[TEOs]],'1.1'!$A:$F,6,FALSE)</f>
        <v>6008</v>
      </c>
    </row>
    <row r="30" spans="1:6" x14ac:dyDescent="0.2">
      <c r="A30" s="4" t="s">
        <v>42</v>
      </c>
      <c r="B30" s="5">
        <f>VLOOKUP(Table2357891618[[#This Row],[Edumis]],'[3]2015 PBRF Indicative Allocation'!$A:$I,9,FALSE)</f>
        <v>0</v>
      </c>
      <c r="C30" s="5">
        <f>VLOOKUP(Table2357891618[[#This Row],[TEOs]],'1.1'!$A:$D,4,FALSE)</f>
        <v>0</v>
      </c>
      <c r="D30" s="10">
        <f>Table2357891618[[#This Row],[RDC 2015
 Final]]-Table2357891618[[#This Row],[RDC 2015 Indicative]]</f>
        <v>0</v>
      </c>
      <c r="E30" s="9"/>
      <c r="F30" s="97">
        <f>VLOOKUP(Table2357891618[[#This Row],[TEOs]],'1.1'!$A:$F,6,FALSE)</f>
        <v>8396</v>
      </c>
    </row>
    <row r="31" spans="1:6" x14ac:dyDescent="0.2">
      <c r="A31" s="4" t="s">
        <v>43</v>
      </c>
      <c r="B31" s="5">
        <f>VLOOKUP(Table2357891618[[#This Row],[Edumis]],'[3]2015 PBRF Indicative Allocation'!$A:$I,9,FALSE)</f>
        <v>0</v>
      </c>
      <c r="C31" s="5">
        <f>VLOOKUP(Table2357891618[[#This Row],[TEOs]],'1.1'!$A:$D,4,FALSE)</f>
        <v>0</v>
      </c>
      <c r="D31" s="10">
        <f>Table2357891618[[#This Row],[RDC 2015
 Final]]-Table2357891618[[#This Row],[RDC 2015 Indicative]]</f>
        <v>0</v>
      </c>
      <c r="E31" s="9"/>
      <c r="F31" s="97">
        <f>VLOOKUP(Table2357891618[[#This Row],[TEOs]],'1.1'!$A:$F,6,FALSE)</f>
        <v>8619</v>
      </c>
    </row>
    <row r="32" spans="1:6" x14ac:dyDescent="0.2">
      <c r="A32" s="7" t="s">
        <v>27</v>
      </c>
      <c r="B32" s="6">
        <f>SUBTOTAL(109,B5:B31)</f>
        <v>71875000.000000015</v>
      </c>
      <c r="C32" s="6">
        <f t="shared" ref="C32" si="0">SUBTOTAL(109,C5:C31)</f>
        <v>71874999.999999985</v>
      </c>
      <c r="D32" s="6">
        <f>ROUND(SUBTOTAL(109,D5:D31),0)</f>
        <v>0</v>
      </c>
      <c r="E32" s="14">
        <f>Table2357891618[[#This Row],[Change($)]]/Table2357891618[[#This Row],[RDC 2015 Indicative]]</f>
        <v>0</v>
      </c>
      <c r="F32" s="97">
        <f>VLOOKUP(Table2357891618[[#This Row],[TEOs]],'1.1'!$A:$F,6,FALSE)</f>
        <v>0</v>
      </c>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0"/>
  <sheetViews>
    <sheetView workbookViewId="0">
      <selection activeCell="Q20" sqref="Q20"/>
    </sheetView>
  </sheetViews>
  <sheetFormatPr defaultRowHeight="15" x14ac:dyDescent="0.2"/>
  <cols>
    <col min="1" max="1" width="30.88671875" bestFit="1" customWidth="1"/>
    <col min="2" max="2" width="11" customWidth="1"/>
    <col min="3" max="8" width="9.88671875" customWidth="1"/>
  </cols>
  <sheetData>
    <row r="2" spans="1:9" ht="15.75" x14ac:dyDescent="0.25">
      <c r="A2" s="1" t="s">
        <v>186</v>
      </c>
      <c r="G2" s="2"/>
      <c r="I2" s="2" t="s">
        <v>0</v>
      </c>
    </row>
    <row r="4" spans="1:9" ht="24" x14ac:dyDescent="0.2">
      <c r="A4" s="3" t="s">
        <v>2</v>
      </c>
      <c r="B4" s="3" t="s">
        <v>94</v>
      </c>
      <c r="C4" s="3" t="s">
        <v>178</v>
      </c>
      <c r="D4" s="3" t="s">
        <v>187</v>
      </c>
      <c r="E4" s="3" t="s">
        <v>179</v>
      </c>
      <c r="F4" s="3" t="s">
        <v>34</v>
      </c>
      <c r="G4" s="3" t="s">
        <v>30</v>
      </c>
      <c r="H4" s="3" t="s">
        <v>31</v>
      </c>
    </row>
    <row r="5" spans="1:9" x14ac:dyDescent="0.2">
      <c r="A5" s="4" t="s">
        <v>6</v>
      </c>
      <c r="B5" s="16">
        <f>Table23578913141519[[#This Row],[ 2015 Final
 Funding]]/$C$20</f>
        <v>0.3017581911938429</v>
      </c>
      <c r="C5" s="5">
        <f>VLOOKUP(Table23578913141519[[#This Row],[TEOs]],'1.1'!$A:$D,4,FALSE)</f>
        <v>21688869.992057454</v>
      </c>
      <c r="D5" s="8">
        <f>Table23578913141519[[#This Row],[ 2016 Indicative
 Funding]]/$E$20</f>
        <v>0.29892937292505378</v>
      </c>
      <c r="E5" s="5">
        <f>VLOOKUP(Table23578913141519[[#This Row],[TEOs]],'1.4'!$A:$E,4,FALSE)</f>
        <v>22419702.969379034</v>
      </c>
      <c r="F5" s="9">
        <f>Table23578913141519[[#This Row],[2016 
Ratio]]-Table23578913141519[[#This Row],[2015
Ratio]]</f>
        <v>-2.8288182687891128E-3</v>
      </c>
      <c r="G5" s="10">
        <f>Table23578913141519[[#This Row],[ 2016 Indicative
 Funding]]-Table23578913141519[[#This Row],[ 2015 Final
 Funding]]</f>
        <v>730832.97732158005</v>
      </c>
      <c r="H5" s="9">
        <f>Table23578913141519[[#This Row],[Change($)]]/Table23578913141519[[#This Row],[ 2015 Final
 Funding]]</f>
        <v>3.3696221960351734E-2</v>
      </c>
    </row>
    <row r="6" spans="1:9" x14ac:dyDescent="0.2">
      <c r="A6" s="4" t="s">
        <v>38</v>
      </c>
      <c r="B6" s="16">
        <f>Table23578913141519[[#This Row],[ 2015 Final
 Funding]]/$C$20</f>
        <v>0.16476040813904247</v>
      </c>
      <c r="C6" s="5">
        <f>VLOOKUP(Table23578913141519[[#This Row],[TEOs]],'1.1'!$A:$D,4,FALSE)</f>
        <v>11842154.334993675</v>
      </c>
      <c r="D6" s="8">
        <f>Table23578913141519[[#This Row],[ 2016 Indicative
 Funding]]/$E$20</f>
        <v>0.15844492460633952</v>
      </c>
      <c r="E6" s="5">
        <f>VLOOKUP(Table23578913141519[[#This Row],[TEOs]],'1.4'!$A:$E,4,FALSE)</f>
        <v>11883369.345475463</v>
      </c>
      <c r="F6" s="9">
        <f>Table23578913141519[[#This Row],[2016 
Ratio]]-Table23578913141519[[#This Row],[2015
Ratio]]</f>
        <v>-6.3154835327029479E-3</v>
      </c>
      <c r="G6" s="10">
        <f>Table23578913141519[[#This Row],[ 2016 Indicative
 Funding]]-Table23578913141519[[#This Row],[ 2015 Final
 Funding]]</f>
        <v>41215.010481787845</v>
      </c>
      <c r="H6" s="9">
        <f>Table23578913141519[[#This Row],[Change($)]]/Table23578913141519[[#This Row],[ 2015 Final
 Funding]]</f>
        <v>3.4803642408203642E-3</v>
      </c>
    </row>
    <row r="7" spans="1:9" x14ac:dyDescent="0.2">
      <c r="A7" s="4" t="s">
        <v>8</v>
      </c>
      <c r="B7" s="16">
        <f>Table23578913141519[[#This Row],[ 2015 Final
 Funding]]/$C$20</f>
        <v>0.11901752012688691</v>
      </c>
      <c r="C7" s="5">
        <f>VLOOKUP(Table23578913141519[[#This Row],[TEOs]],'1.1'!$A:$D,4,FALSE)</f>
        <v>8554384.2591199949</v>
      </c>
      <c r="D7" s="8">
        <f>Table23578913141519[[#This Row],[ 2016 Indicative
 Funding]]/$E$20</f>
        <v>0.12490494649182916</v>
      </c>
      <c r="E7" s="5">
        <f>VLOOKUP(Table23578913141519[[#This Row],[TEOs]],'1.4'!$A:$E,4,FALSE)</f>
        <v>9367870.9868871868</v>
      </c>
      <c r="F7" s="9">
        <f>Table23578913141519[[#This Row],[2016 
Ratio]]-Table23578913141519[[#This Row],[2015
Ratio]]</f>
        <v>5.8874263649422581E-3</v>
      </c>
      <c r="G7" s="10">
        <f>Table23578913141519[[#This Row],[ 2016 Indicative
 Funding]]-Table23578913141519[[#This Row],[ 2015 Final
 Funding]]</f>
        <v>813486.72776719183</v>
      </c>
      <c r="H7" s="9">
        <f>Table23578913141519[[#This Row],[Change($)]]/Table23578913141519[[#This Row],[ 2015 Final
 Funding]]</f>
        <v>9.5095883365295147E-2</v>
      </c>
    </row>
    <row r="8" spans="1:9" x14ac:dyDescent="0.2">
      <c r="A8" s="4" t="s">
        <v>7</v>
      </c>
      <c r="B8" s="16">
        <f>Table23578913141519[[#This Row],[ 2015 Final
 Funding]]/$C$20</f>
        <v>0.12077839409269857</v>
      </c>
      <c r="C8" s="5">
        <f>VLOOKUP(Table23578913141519[[#This Row],[TEOs]],'1.1'!$A:$D,4,FALSE)</f>
        <v>8680947.0754127074</v>
      </c>
      <c r="D8" s="8">
        <f>Table23578913141519[[#This Row],[ 2016 Indicative
 Funding]]/$E$20</f>
        <v>0.12228749744978368</v>
      </c>
      <c r="E8" s="5">
        <f>VLOOKUP(Table23578913141519[[#This Row],[TEOs]],'1.4'!$A:$E,4,FALSE)</f>
        <v>9171562.3087337762</v>
      </c>
      <c r="F8" s="9">
        <f>Table23578913141519[[#This Row],[2016 
Ratio]]-Table23578913141519[[#This Row],[2015
Ratio]]</f>
        <v>1.5091033570851092E-3</v>
      </c>
      <c r="G8" s="10">
        <f>Table23578913141519[[#This Row],[ 2016 Indicative
 Funding]]-Table23578913141519[[#This Row],[ 2015 Final
 Funding]]</f>
        <v>490615.23332106881</v>
      </c>
      <c r="H8" s="9">
        <f>Table23578913141519[[#This Row],[Change($)]]/Table23578913141519[[#This Row],[ 2015 Final
 Funding]]</f>
        <v>5.6516325817796108E-2</v>
      </c>
    </row>
    <row r="9" spans="1:9" x14ac:dyDescent="0.2">
      <c r="A9" s="4" t="s">
        <v>37</v>
      </c>
      <c r="B9" s="16">
        <f>Table23578913141519[[#This Row],[ 2015 Final
 Funding]]/$C$20</f>
        <v>0.1116732286185104</v>
      </c>
      <c r="C9" s="5">
        <f>VLOOKUP(Table23578913141519[[#This Row],[TEOs]],'1.1'!$A:$D,4,FALSE)</f>
        <v>8026513.3069554335</v>
      </c>
      <c r="D9" s="8">
        <f>Table23578913141519[[#This Row],[ 2016 Indicative
 Funding]]/$E$20</f>
        <v>0.11380300585467788</v>
      </c>
      <c r="E9" s="5">
        <f>VLOOKUP(Table23578913141519[[#This Row],[TEOs]],'1.4'!$A:$E,4,FALSE)</f>
        <v>8535225.4391008411</v>
      </c>
      <c r="F9" s="9">
        <f>Table23578913141519[[#This Row],[2016 
Ratio]]-Table23578913141519[[#This Row],[2015
Ratio]]</f>
        <v>2.1297772361674877E-3</v>
      </c>
      <c r="G9" s="10">
        <f>Table23578913141519[[#This Row],[ 2016 Indicative
 Funding]]-Table23578913141519[[#This Row],[ 2015 Final
 Funding]]</f>
        <v>508712.13214540761</v>
      </c>
      <c r="H9" s="9">
        <f>Table23578913141519[[#This Row],[Change($)]]/Table23578913141519[[#This Row],[ 2015 Final
 Funding]]</f>
        <v>6.3378968263165955E-2</v>
      </c>
    </row>
    <row r="10" spans="1:9" x14ac:dyDescent="0.2">
      <c r="A10" s="4" t="s">
        <v>9</v>
      </c>
      <c r="B10" s="16">
        <f>Table23578913141519[[#This Row],[ 2015 Final
 Funding]]/$C$20</f>
        <v>5.7168244759855116E-2</v>
      </c>
      <c r="C10" s="5">
        <f>VLOOKUP(Table23578913141519[[#This Row],[TEOs]],'1.1'!$A:$D,4,FALSE)</f>
        <v>4108967.5921145855</v>
      </c>
      <c r="D10" s="8">
        <f>Table23578913141519[[#This Row],[ 2016 Indicative
 Funding]]/$E$20</f>
        <v>5.454139387082578E-2</v>
      </c>
      <c r="E10" s="5">
        <f>VLOOKUP(Table23578913141519[[#This Row],[TEOs]],'1.4'!$A:$E,4,FALSE)</f>
        <v>4090604.5403119335</v>
      </c>
      <c r="F10" s="9">
        <f>Table23578913141519[[#This Row],[2016 
Ratio]]-Table23578913141519[[#This Row],[2015
Ratio]]</f>
        <v>-2.6268508890293363E-3</v>
      </c>
      <c r="G10" s="10">
        <f>Table23578913141519[[#This Row],[ 2016 Indicative
 Funding]]-Table23578913141519[[#This Row],[ 2015 Final
 Funding]]</f>
        <v>-18363.051802651957</v>
      </c>
      <c r="H10" s="9">
        <f>Table23578913141519[[#This Row],[Change($)]]/Table23578913141519[[#This Row],[ 2015 Final
 Funding]]</f>
        <v>-4.469018406933172E-3</v>
      </c>
    </row>
    <row r="11" spans="1:9" x14ac:dyDescent="0.2">
      <c r="A11" s="4" t="s">
        <v>11</v>
      </c>
      <c r="B11" s="16">
        <f>Table23578913141519[[#This Row],[ 2015 Final
 Funding]]/$C$20</f>
        <v>6.2419161170371204E-2</v>
      </c>
      <c r="C11" s="5">
        <f>VLOOKUP(Table23578913141519[[#This Row],[TEOs]],'1.1'!$A:$D,4,FALSE)</f>
        <v>4486377.2091204291</v>
      </c>
      <c r="D11" s="8">
        <f>Table23578913141519[[#This Row],[ 2016 Indicative
 Funding]]/$E$20</f>
        <v>6.5155702283138425E-2</v>
      </c>
      <c r="E11" s="5">
        <f>VLOOKUP(Table23578913141519[[#This Row],[TEOs]],'1.4'!$A:$E,4,FALSE)</f>
        <v>4886677.6712353816</v>
      </c>
      <c r="F11" s="9">
        <f>Table23578913141519[[#This Row],[2016 
Ratio]]-Table23578913141519[[#This Row],[2015
Ratio]]</f>
        <v>2.7365411127672212E-3</v>
      </c>
      <c r="G11" s="10">
        <f>Table23578913141519[[#This Row],[ 2016 Indicative
 Funding]]-Table23578913141519[[#This Row],[ 2015 Final
 Funding]]</f>
        <v>400300.4621149525</v>
      </c>
      <c r="H11" s="9">
        <f>Table23578913141519[[#This Row],[Change($)]]/Table23578913141519[[#This Row],[ 2015 Final
 Funding]]</f>
        <v>8.9225770249807615E-2</v>
      </c>
    </row>
    <row r="12" spans="1:9" x14ac:dyDescent="0.2">
      <c r="A12" s="4" t="s">
        <v>10</v>
      </c>
      <c r="B12" s="16">
        <f>Table23578913141519[[#This Row],[ 2015 Final
 Funding]]/$C$20</f>
        <v>3.2934684258063042E-2</v>
      </c>
      <c r="C12" s="5">
        <f>VLOOKUP(Table23578913141519[[#This Row],[TEOs]],'1.1'!$A:$D,4,FALSE)</f>
        <v>2367180.4310482806</v>
      </c>
      <c r="D12" s="8">
        <f>Table23578913141519[[#This Row],[ 2016 Indicative
 Funding]]/$E$20</f>
        <v>3.0042318130954138E-2</v>
      </c>
      <c r="E12" s="5">
        <f>VLOOKUP(Table23578913141519[[#This Row],[TEOs]],'1.4'!$A:$E,4,FALSE)</f>
        <v>2253173.8598215603</v>
      </c>
      <c r="F12" s="9">
        <f>Table23578913141519[[#This Row],[2016 
Ratio]]-Table23578913141519[[#This Row],[2015
Ratio]]</f>
        <v>-2.8923661271089036E-3</v>
      </c>
      <c r="G12" s="10">
        <f>Table23578913141519[[#This Row],[ 2016 Indicative
 Funding]]-Table23578913141519[[#This Row],[ 2015 Final
 Funding]]</f>
        <v>-114006.57122672023</v>
      </c>
      <c r="H12" s="9">
        <f>Table23578913141519[[#This Row],[Change($)]]/Table23578913141519[[#This Row],[ 2015 Final
 Funding]]</f>
        <v>-4.8161335625875226E-2</v>
      </c>
    </row>
    <row r="13" spans="1:9" x14ac:dyDescent="0.2">
      <c r="A13" s="4" t="s">
        <v>12</v>
      </c>
      <c r="B13" s="16">
        <f>Table23578913141519[[#This Row],[ 2015 Final
 Funding]]/$C$20</f>
        <v>1.5894204480879508E-2</v>
      </c>
      <c r="C13" s="5">
        <f>VLOOKUP(Table23578913141519[[#This Row],[TEOs]],'1.1'!$A:$D,4,FALSE)</f>
        <v>1142395.9470632144</v>
      </c>
      <c r="D13" s="8">
        <f>Table23578913141519[[#This Row],[ 2016 Indicative
 Funding]]/$E$20</f>
        <v>1.840869608224972E-2</v>
      </c>
      <c r="E13" s="5">
        <f>VLOOKUP(Table23578913141519[[#This Row],[TEOs]],'1.4'!$A:$E,4,FALSE)</f>
        <v>1380652.2061687289</v>
      </c>
      <c r="F13" s="9">
        <f>Table23578913141519[[#This Row],[2016 
Ratio]]-Table23578913141519[[#This Row],[2015
Ratio]]</f>
        <v>2.5144916013702112E-3</v>
      </c>
      <c r="G13" s="10">
        <f>Table23578913141519[[#This Row],[ 2016 Indicative
 Funding]]-Table23578913141519[[#This Row],[ 2015 Final
 Funding]]</f>
        <v>238256.2591055145</v>
      </c>
      <c r="H13" s="9">
        <f>Table23578913141519[[#This Row],[Change($)]]/Table23578913141519[[#This Row],[ 2015 Final
 Funding]]</f>
        <v>0.20855838968792367</v>
      </c>
    </row>
    <row r="14" spans="1:9" x14ac:dyDescent="0.2">
      <c r="A14" s="4" t="s">
        <v>13</v>
      </c>
      <c r="B14" s="16">
        <f>Table23578913141519[[#This Row],[ 2015 Final
 Funding]]/$C$20</f>
        <v>4.5655901163428655E-3</v>
      </c>
      <c r="C14" s="5">
        <f>VLOOKUP(Table23578913141519[[#This Row],[TEOs]],'1.1'!$A:$D,4,FALSE)</f>
        <v>328151.78961214336</v>
      </c>
      <c r="D14" s="8">
        <f>Table23578913141519[[#This Row],[ 2016 Indicative
 Funding]]/$E$20</f>
        <v>4.7781775692267436E-3</v>
      </c>
      <c r="E14" s="5">
        <f>VLOOKUP(Table23578913141519[[#This Row],[TEOs]],'1.4'!$A:$E,4,FALSE)</f>
        <v>358363.31769200577</v>
      </c>
      <c r="F14" s="9">
        <f>Table23578913141519[[#This Row],[2016 
Ratio]]-Table23578913141519[[#This Row],[2015
Ratio]]</f>
        <v>2.1258745288387816E-4</v>
      </c>
      <c r="G14" s="10">
        <f>Table23578913141519[[#This Row],[ 2016 Indicative
 Funding]]-Table23578913141519[[#This Row],[ 2015 Final
 Funding]]</f>
        <v>30211.528079862415</v>
      </c>
      <c r="H14" s="9">
        <f>Table23578913141519[[#This Row],[Change($)]]/Table23578913141519[[#This Row],[ 2015 Final
 Funding]]</f>
        <v>9.2065711771892864E-2</v>
      </c>
    </row>
    <row r="15" spans="1:9" x14ac:dyDescent="0.2">
      <c r="A15" s="18" t="s">
        <v>40</v>
      </c>
      <c r="B15" s="16">
        <f>Table23578913141519[[#This Row],[ 2015 Final
 Funding]]/$C$20</f>
        <v>4.4103145265598368E-3</v>
      </c>
      <c r="C15" s="5">
        <f>VLOOKUP(Table23578913141519[[#This Row],[TEOs]],'1.1'!$A:$D,4,FALSE)</f>
        <v>316991.35659648821</v>
      </c>
      <c r="D15" s="8">
        <f>Table23578913141519[[#This Row],[ 2016 Indicative
 Funding]]/$E$20</f>
        <v>5.0888402544651632E-3</v>
      </c>
      <c r="E15" s="5">
        <f>VLOOKUP(Table23578913141519[[#This Row],[TEOs]],'1.4'!$A:$E,4,FALSE)</f>
        <v>381663.01908488723</v>
      </c>
      <c r="F15" s="9">
        <f>Table23578913141519[[#This Row],[2016 
Ratio]]-Table23578913141519[[#This Row],[2015
Ratio]]</f>
        <v>6.7852572790532643E-4</v>
      </c>
      <c r="G15" s="10">
        <f>Table23578913141519[[#This Row],[ 2016 Indicative
 Funding]]-Table23578913141519[[#This Row],[ 2015 Final
 Funding]]</f>
        <v>64671.662488399015</v>
      </c>
      <c r="H15" s="9">
        <f>Table23578913141519[[#This Row],[Change($)]]/Table23578913141519[[#This Row],[ 2015 Final
 Funding]]</f>
        <v>0.20401711637431907</v>
      </c>
    </row>
    <row r="16" spans="1:9" x14ac:dyDescent="0.2">
      <c r="A16" s="4" t="s">
        <v>14</v>
      </c>
      <c r="B16" s="16">
        <f>Table23578913141519[[#This Row],[ 2015 Final
 Funding]]/$C$20</f>
        <v>2.1177639339517735E-3</v>
      </c>
      <c r="C16" s="5">
        <f>VLOOKUP(Table23578913141519[[#This Row],[TEOs]],'1.1'!$A:$D,4,FALSE)</f>
        <v>152214.28275278368</v>
      </c>
      <c r="D16" s="8">
        <f>Table23578913141519[[#This Row],[ 2016 Indicative
 Funding]]/$E$20</f>
        <v>1.640639006868571E-3</v>
      </c>
      <c r="E16" s="5">
        <f>VLOOKUP(Table23578913141519[[#This Row],[TEOs]],'1.4'!$A:$E,4,FALSE)</f>
        <v>123047.92551514282</v>
      </c>
      <c r="F16" s="9">
        <f>Table23578913141519[[#This Row],[2016 
Ratio]]-Table23578913141519[[#This Row],[2015
Ratio]]</f>
        <v>-4.7712492708320252E-4</v>
      </c>
      <c r="G16" s="10">
        <f>Table23578913141519[[#This Row],[ 2016 Indicative
 Funding]]-Table23578913141519[[#This Row],[ 2015 Final
 Funding]]</f>
        <v>-29166.357237640856</v>
      </c>
      <c r="H16" s="9">
        <f>Table23578913141519[[#This Row],[Change($)]]/Table23578913141519[[#This Row],[ 2015 Final
 Funding]]</f>
        <v>-0.19161380069051021</v>
      </c>
    </row>
    <row r="17" spans="1:8" x14ac:dyDescent="0.2">
      <c r="A17" s="4" t="s">
        <v>17</v>
      </c>
      <c r="B17" s="16">
        <f>Table23578913141519[[#This Row],[ 2015 Final
 Funding]]/$C$20</f>
        <v>1.0974976241208809E-3</v>
      </c>
      <c r="C17" s="5">
        <f>VLOOKUP(Table23578913141519[[#This Row],[TEOs]],'1.1'!$A:$D,4,FALSE)</f>
        <v>78882.641733688302</v>
      </c>
      <c r="D17" s="8">
        <f>Table23578913141519[[#This Row],[ 2016 Indicative
 Funding]]/$E$20</f>
        <v>1.661504411101002E-3</v>
      </c>
      <c r="E17" s="5">
        <f>VLOOKUP(Table23578913141519[[#This Row],[TEOs]],'1.4'!$A:$E,4,FALSE)</f>
        <v>124612.83083257516</v>
      </c>
      <c r="F17" s="9">
        <f>Table23578913141519[[#This Row],[2016 
Ratio]]-Table23578913141519[[#This Row],[2015
Ratio]]</f>
        <v>5.6400678698012119E-4</v>
      </c>
      <c r="G17" s="10">
        <f>Table23578913141519[[#This Row],[ 2016 Indicative
 Funding]]-Table23578913141519[[#This Row],[ 2015 Final
 Funding]]</f>
        <v>45730.189098886854</v>
      </c>
      <c r="H17" s="9">
        <f>Table23578913141519[[#This Row],[Change($)]]/Table23578913141519[[#This Row],[ 2015 Final
 Funding]]</f>
        <v>0.57972436132747984</v>
      </c>
    </row>
    <row r="18" spans="1:8" x14ac:dyDescent="0.2">
      <c r="A18" s="4" t="s">
        <v>21</v>
      </c>
      <c r="B18" s="16">
        <f>Table23578913141519[[#This Row],[ 2015 Final
 Funding]]/$C$20</f>
        <v>3.7802695941941463E-4</v>
      </c>
      <c r="C18" s="5">
        <f>VLOOKUP(Table23578913141519[[#This Row],[TEOs]],'1.1'!$A:$D,4,FALSE)</f>
        <v>27170.68770827042</v>
      </c>
      <c r="D18" s="8">
        <f>Table23578913141519[[#This Row],[ 2016 Indicative
 Funding]]/$E$20</f>
        <v>3.1298106348646786E-4</v>
      </c>
      <c r="E18" s="5">
        <f>VLOOKUP(Table23578913141519[[#This Row],[TEOs]],'1.4'!$A:$E,4,FALSE)</f>
        <v>23473.579761485089</v>
      </c>
      <c r="F18" s="9">
        <f>Table23578913141519[[#This Row],[2016 
Ratio]]-Table23578913141519[[#This Row],[2015
Ratio]]</f>
        <v>-6.5045895932946767E-5</v>
      </c>
      <c r="G18" s="10">
        <f>Table23578913141519[[#This Row],[ 2016 Indicative
 Funding]]-Table23578913141519[[#This Row],[ 2015 Final
 Funding]]</f>
        <v>-3697.1079467853306</v>
      </c>
      <c r="H18" s="9">
        <f>Table23578913141519[[#This Row],[Change($)]]/Table23578913141519[[#This Row],[ 2015 Final
 Funding]]</f>
        <v>-0.13606972287491925</v>
      </c>
    </row>
    <row r="19" spans="1:8" x14ac:dyDescent="0.2">
      <c r="A19" s="4" t="s">
        <v>19</v>
      </c>
      <c r="B19" s="16">
        <f>Table23578913141519[[#This Row],[ 2015 Final
 Funding]]/$C$20</f>
        <v>1.0267699994553131E-3</v>
      </c>
      <c r="C19" s="5">
        <f>VLOOKUP(Table23578913141519[[#This Row],[TEOs]],'1.1'!$A:$D,4,FALSE)</f>
        <v>73799.093710850619</v>
      </c>
      <c r="D19" s="8">
        <f>Table23578913141519[[#This Row],[ 2016 Indicative
 Funding]]/$E$20</f>
        <v>0</v>
      </c>
      <c r="E19" s="5">
        <f>VLOOKUP(Table23578913141519[[#This Row],[TEOs]],'1.4'!$A:$E,4,FALSE)</f>
        <v>0</v>
      </c>
      <c r="F19" s="9">
        <f>Table23578913141519[[#This Row],[2016 
Ratio]]-Table23578913141519[[#This Row],[2015
Ratio]]</f>
        <v>-1.0267699994553131E-3</v>
      </c>
      <c r="G19" s="10">
        <f>Table23578913141519[[#This Row],[ 2016 Indicative
 Funding]]-Table23578913141519[[#This Row],[ 2015 Final
 Funding]]</f>
        <v>-73799.093710850619</v>
      </c>
      <c r="H19" s="9">
        <f>Table23578913141519[[#This Row],[Change($)]]/Table23578913141519[[#This Row],[ 2015 Final
 Funding]]</f>
        <v>-1</v>
      </c>
    </row>
    <row r="20" spans="1:8" x14ac:dyDescent="0.2">
      <c r="A20" s="7" t="s">
        <v>27</v>
      </c>
      <c r="B20" s="12">
        <f>SUBTOTAL(109,B5:B19)</f>
        <v>1.0000000000000002</v>
      </c>
      <c r="C20" s="6">
        <f>SUBTOTAL(109,C5:C19)</f>
        <v>71874999.999999985</v>
      </c>
      <c r="D20" s="13">
        <f>SUBTOTAL(109,D5:D19)</f>
        <v>1</v>
      </c>
      <c r="E20" s="6">
        <f>SUBTOTAL(109,E5:E19)</f>
        <v>75000000</v>
      </c>
      <c r="F20" s="14">
        <f>Table23578913141519[[#This Row],[2016 
Ratio]]-Table23578913141519[[#This Row],[2015
Ratio]]</f>
        <v>0</v>
      </c>
      <c r="G20" s="11">
        <f>SUBTOTAL(109,G5:G19)</f>
        <v>3125000.0000000023</v>
      </c>
      <c r="H20" s="14">
        <f>Table23578913141519[[#This Row],[Change($)]]/Table23578913141519[[#This Row],[ 2015 Final
 Funding]]</f>
        <v>4.3478260869565258E-2</v>
      </c>
    </row>
  </sheetData>
  <pageMargins left="0.70866141732283472" right="0.70866141732283472" top="0.74803149606299213" bottom="0.74803149606299213" header="0.31496062992125984" footer="0.31496062992125984"/>
  <pageSetup paperSize="9" scale="6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1"/>
  <sheetViews>
    <sheetView topLeftCell="A82" workbookViewId="0">
      <selection activeCell="K111" sqref="K111"/>
    </sheetView>
  </sheetViews>
  <sheetFormatPr defaultRowHeight="15" x14ac:dyDescent="0.2"/>
  <cols>
    <col min="1" max="1" width="7.77734375" bestFit="1" customWidth="1"/>
    <col min="2" max="2" width="6.109375" bestFit="1" customWidth="1"/>
    <col min="3" max="3" width="15.44140625" bestFit="1" customWidth="1"/>
    <col min="4" max="4" width="53.6640625" bestFit="1" customWidth="1"/>
    <col min="5" max="5" width="15.77734375" bestFit="1" customWidth="1"/>
    <col min="6" max="6" width="12.88671875" bestFit="1" customWidth="1"/>
    <col min="7" max="7" width="15.5546875" bestFit="1" customWidth="1"/>
    <col min="8" max="8" width="16.6640625" bestFit="1" customWidth="1"/>
  </cols>
  <sheetData>
    <row r="2" spans="1:8" ht="15.75" x14ac:dyDescent="0.25">
      <c r="A2" s="1" t="s">
        <v>278</v>
      </c>
    </row>
    <row r="4" spans="1:8" ht="33" customHeight="1" thickBot="1" x14ac:dyDescent="0.25">
      <c r="A4" s="142" t="s">
        <v>195</v>
      </c>
      <c r="B4" s="143" t="s">
        <v>276</v>
      </c>
      <c r="C4" s="143" t="s">
        <v>280</v>
      </c>
      <c r="D4" s="143" t="s">
        <v>256</v>
      </c>
      <c r="E4" s="143" t="s">
        <v>257</v>
      </c>
      <c r="F4" s="143" t="s">
        <v>198</v>
      </c>
      <c r="G4" s="143" t="s">
        <v>199</v>
      </c>
      <c r="H4" s="143" t="s">
        <v>200</v>
      </c>
    </row>
    <row r="5" spans="1:8" ht="26.25" thickTop="1" x14ac:dyDescent="0.2">
      <c r="A5" s="138">
        <v>1</v>
      </c>
      <c r="B5" s="136" t="s">
        <v>190</v>
      </c>
      <c r="C5" s="167">
        <v>0.75</v>
      </c>
      <c r="D5" s="136" t="s">
        <v>212</v>
      </c>
      <c r="E5" s="136">
        <v>68.069999999999993</v>
      </c>
      <c r="F5" s="137">
        <v>221</v>
      </c>
      <c r="G5" s="183">
        <v>5.5338269091788853E-3</v>
      </c>
      <c r="H5" s="173">
        <v>397743.80909723236</v>
      </c>
    </row>
    <row r="6" spans="1:8" ht="25.5" x14ac:dyDescent="0.2">
      <c r="A6" s="141"/>
      <c r="B6" s="139"/>
      <c r="C6" s="168">
        <v>0.8</v>
      </c>
      <c r="D6" s="139" t="s">
        <v>212</v>
      </c>
      <c r="E6" s="139">
        <v>1.7600000000000002</v>
      </c>
      <c r="F6" s="140">
        <v>4</v>
      </c>
      <c r="G6" s="184">
        <v>1.4308117173725341E-4</v>
      </c>
      <c r="H6" s="174">
        <v>10283.959218615089</v>
      </c>
    </row>
    <row r="7" spans="1:8" ht="25.5" x14ac:dyDescent="0.2">
      <c r="A7" s="138"/>
      <c r="B7" s="136"/>
      <c r="C7" s="167">
        <v>1</v>
      </c>
      <c r="D7" s="136" t="s">
        <v>212</v>
      </c>
      <c r="E7" s="136">
        <v>562.69999999999982</v>
      </c>
      <c r="F7" s="137">
        <v>1408</v>
      </c>
      <c r="G7" s="183">
        <v>4.5745326895768448E-2</v>
      </c>
      <c r="H7" s="173">
        <v>3287945.3706333572</v>
      </c>
    </row>
    <row r="8" spans="1:8" x14ac:dyDescent="0.2">
      <c r="A8" s="141"/>
      <c r="B8" s="139"/>
      <c r="C8" s="168"/>
      <c r="D8" s="139" t="s">
        <v>221</v>
      </c>
      <c r="E8" s="139">
        <v>1</v>
      </c>
      <c r="F8" s="140">
        <v>2</v>
      </c>
      <c r="G8" s="184">
        <v>8.129612030525762E-5</v>
      </c>
      <c r="H8" s="174">
        <v>5843.158646940391</v>
      </c>
    </row>
    <row r="9" spans="1:8" ht="25.5" x14ac:dyDescent="0.2">
      <c r="A9" s="138"/>
      <c r="B9" s="136"/>
      <c r="C9" s="167">
        <v>2</v>
      </c>
      <c r="D9" s="136" t="s">
        <v>212</v>
      </c>
      <c r="E9" s="136">
        <v>7.6</v>
      </c>
      <c r="F9" s="137">
        <v>10</v>
      </c>
      <c r="G9" s="183">
        <v>6.178505143199578E-4</v>
      </c>
      <c r="H9" s="173">
        <v>44408.005716746964</v>
      </c>
    </row>
    <row r="10" spans="1:8" ht="25.5" x14ac:dyDescent="0.2">
      <c r="A10" s="141"/>
      <c r="B10" s="139"/>
      <c r="C10" s="168">
        <v>2.5</v>
      </c>
      <c r="D10" s="139" t="s">
        <v>212</v>
      </c>
      <c r="E10" s="139">
        <v>1.6400000000000001</v>
      </c>
      <c r="F10" s="140">
        <v>3</v>
      </c>
      <c r="G10" s="184">
        <v>1.3332563730062249E-4</v>
      </c>
      <c r="H10" s="174">
        <v>9582.7801809822413</v>
      </c>
    </row>
    <row r="11" spans="1:8" ht="25.5" x14ac:dyDescent="0.2">
      <c r="A11" s="138"/>
      <c r="B11" s="136"/>
      <c r="C11" s="167">
        <v>3</v>
      </c>
      <c r="D11" s="136" t="s">
        <v>212</v>
      </c>
      <c r="E11" s="136">
        <v>866.9999999999992</v>
      </c>
      <c r="F11" s="137">
        <v>757</v>
      </c>
      <c r="G11" s="183">
        <v>7.048373630465829E-2</v>
      </c>
      <c r="H11" s="173">
        <v>5066018.5468973145</v>
      </c>
    </row>
    <row r="12" spans="1:8" x14ac:dyDescent="0.2">
      <c r="A12" s="141"/>
      <c r="B12" s="139"/>
      <c r="C12" s="168"/>
      <c r="D12" s="139" t="s">
        <v>191</v>
      </c>
      <c r="E12" s="139">
        <v>3</v>
      </c>
      <c r="F12" s="140">
        <v>1</v>
      </c>
      <c r="G12" s="184">
        <v>2.4388836091577285E-4</v>
      </c>
      <c r="H12" s="174">
        <v>17529.475940821172</v>
      </c>
    </row>
    <row r="13" spans="1:8" x14ac:dyDescent="0.2">
      <c r="A13" s="138"/>
      <c r="B13" s="136" t="s">
        <v>201</v>
      </c>
      <c r="C13" s="167">
        <v>0.75</v>
      </c>
      <c r="D13" s="136" t="s">
        <v>222</v>
      </c>
      <c r="E13" s="136">
        <v>0.26</v>
      </c>
      <c r="F13" s="137">
        <v>1</v>
      </c>
      <c r="G13" s="183">
        <v>2.113699127936698E-5</v>
      </c>
      <c r="H13" s="173">
        <v>1519.2212482045018</v>
      </c>
    </row>
    <row r="14" spans="1:8" x14ac:dyDescent="0.2">
      <c r="A14" s="141"/>
      <c r="B14" s="139"/>
      <c r="C14" s="168">
        <v>1</v>
      </c>
      <c r="D14" s="139" t="s">
        <v>222</v>
      </c>
      <c r="E14" s="139">
        <v>37.950000000000003</v>
      </c>
      <c r="F14" s="140">
        <v>90</v>
      </c>
      <c r="G14" s="184">
        <v>3.0851877655845268E-3</v>
      </c>
      <c r="H14" s="174">
        <v>221747.87065138787</v>
      </c>
    </row>
    <row r="15" spans="1:8" x14ac:dyDescent="0.2">
      <c r="A15" s="138"/>
      <c r="B15" s="136" t="s">
        <v>202</v>
      </c>
      <c r="C15" s="167">
        <v>0.75</v>
      </c>
      <c r="D15" s="136" t="s">
        <v>220</v>
      </c>
      <c r="E15" s="136">
        <v>19.790000000000006</v>
      </c>
      <c r="F15" s="137">
        <v>82</v>
      </c>
      <c r="G15" s="183">
        <v>1.6088502208410488E-3</v>
      </c>
      <c r="H15" s="173">
        <v>115636.10962295037</v>
      </c>
    </row>
    <row r="16" spans="1:8" x14ac:dyDescent="0.2">
      <c r="A16" s="141"/>
      <c r="B16" s="139"/>
      <c r="C16" s="168"/>
      <c r="D16" s="139" t="s">
        <v>66</v>
      </c>
      <c r="E16" s="139">
        <v>10.990000000000002</v>
      </c>
      <c r="F16" s="140">
        <v>33</v>
      </c>
      <c r="G16" s="184">
        <v>8.9344436215478139E-4</v>
      </c>
      <c r="H16" s="174">
        <v>64216.313529874911</v>
      </c>
    </row>
    <row r="17" spans="1:8" x14ac:dyDescent="0.2">
      <c r="A17" s="138"/>
      <c r="B17" s="136"/>
      <c r="C17" s="167">
        <v>0.8</v>
      </c>
      <c r="D17" s="136" t="s">
        <v>220</v>
      </c>
      <c r="E17" s="136">
        <v>3.8799999999999994</v>
      </c>
      <c r="F17" s="137">
        <v>10</v>
      </c>
      <c r="G17" s="183">
        <v>3.154289467843995E-4</v>
      </c>
      <c r="H17" s="173">
        <v>22671.455550128714</v>
      </c>
    </row>
    <row r="18" spans="1:8" x14ac:dyDescent="0.2">
      <c r="A18" s="141"/>
      <c r="B18" s="139"/>
      <c r="C18" s="168">
        <v>1</v>
      </c>
      <c r="D18" s="139" t="s">
        <v>220</v>
      </c>
      <c r="E18" s="139">
        <v>101.05000000000001</v>
      </c>
      <c r="F18" s="140">
        <v>303</v>
      </c>
      <c r="G18" s="184">
        <v>8.2149729568462837E-3</v>
      </c>
      <c r="H18" s="174">
        <v>590451.18127332663</v>
      </c>
    </row>
    <row r="19" spans="1:8" x14ac:dyDescent="0.2">
      <c r="A19" s="138"/>
      <c r="B19" s="136"/>
      <c r="C19" s="167"/>
      <c r="D19" s="136" t="s">
        <v>66</v>
      </c>
      <c r="E19" s="136">
        <v>14.049999999999997</v>
      </c>
      <c r="F19" s="137">
        <v>39</v>
      </c>
      <c r="G19" s="183">
        <v>1.1422104902888692E-3</v>
      </c>
      <c r="H19" s="173">
        <v>82096.378989512479</v>
      </c>
    </row>
    <row r="20" spans="1:8" x14ac:dyDescent="0.2">
      <c r="A20" s="141"/>
      <c r="B20" s="139"/>
      <c r="C20" s="168">
        <v>2</v>
      </c>
      <c r="D20" s="139" t="s">
        <v>220</v>
      </c>
      <c r="E20" s="139">
        <v>4.9000000000000004</v>
      </c>
      <c r="F20" s="140">
        <v>6</v>
      </c>
      <c r="G20" s="184">
        <v>3.9835098949576235E-4</v>
      </c>
      <c r="H20" s="174">
        <v>28631.47737000792</v>
      </c>
    </row>
    <row r="21" spans="1:8" x14ac:dyDescent="0.2">
      <c r="A21" s="138"/>
      <c r="B21" s="136"/>
      <c r="C21" s="167">
        <v>3</v>
      </c>
      <c r="D21" s="136" t="s">
        <v>220</v>
      </c>
      <c r="E21" s="136">
        <v>341.39999999999986</v>
      </c>
      <c r="F21" s="137">
        <v>342</v>
      </c>
      <c r="G21" s="183">
        <v>2.7754495472214938E-2</v>
      </c>
      <c r="H21" s="173">
        <v>1994854.3620654487</v>
      </c>
    </row>
    <row r="22" spans="1:8" x14ac:dyDescent="0.2">
      <c r="A22" s="141"/>
      <c r="B22" s="139"/>
      <c r="C22" s="168"/>
      <c r="D22" s="139" t="s">
        <v>66</v>
      </c>
      <c r="E22" s="139">
        <v>21.900000000000002</v>
      </c>
      <c r="F22" s="140">
        <v>22</v>
      </c>
      <c r="G22" s="184">
        <v>1.7803850346851419E-3</v>
      </c>
      <c r="H22" s="174">
        <v>127965.17436799458</v>
      </c>
    </row>
    <row r="23" spans="1:8" x14ac:dyDescent="0.2">
      <c r="A23" s="130" t="s">
        <v>213</v>
      </c>
      <c r="B23" s="131"/>
      <c r="C23" s="176"/>
      <c r="D23" s="131"/>
      <c r="E23" s="131">
        <v>2068.9399999999982</v>
      </c>
      <c r="F23" s="135">
        <v>3334</v>
      </c>
      <c r="G23" s="185">
        <v>0.16819679514435953</v>
      </c>
      <c r="H23" s="177">
        <v>12089144.651000842</v>
      </c>
    </row>
    <row r="24" spans="1:8" x14ac:dyDescent="0.2">
      <c r="A24" s="141">
        <v>2</v>
      </c>
      <c r="B24" s="139" t="s">
        <v>189</v>
      </c>
      <c r="C24" s="168">
        <v>0.75</v>
      </c>
      <c r="D24" s="139" t="s">
        <v>192</v>
      </c>
      <c r="E24" s="139">
        <v>4.75</v>
      </c>
      <c r="F24" s="140">
        <v>8</v>
      </c>
      <c r="G24" s="184">
        <v>3.8615657144997368E-4</v>
      </c>
      <c r="H24" s="174">
        <v>27755.00357296686</v>
      </c>
    </row>
    <row r="25" spans="1:8" x14ac:dyDescent="0.2">
      <c r="A25" s="138"/>
      <c r="B25" s="136"/>
      <c r="C25" s="167"/>
      <c r="D25" s="136" t="s">
        <v>214</v>
      </c>
      <c r="E25" s="136">
        <v>85.180000000000049</v>
      </c>
      <c r="F25" s="137">
        <v>132</v>
      </c>
      <c r="G25" s="183">
        <v>6.9248035276018478E-3</v>
      </c>
      <c r="H25" s="173">
        <v>497720.25354638282</v>
      </c>
    </row>
    <row r="26" spans="1:8" x14ac:dyDescent="0.2">
      <c r="A26" s="141"/>
      <c r="B26" s="139"/>
      <c r="C26" s="168"/>
      <c r="D26" s="139" t="s">
        <v>224</v>
      </c>
      <c r="E26" s="139">
        <v>19.73</v>
      </c>
      <c r="F26" s="140">
        <v>42</v>
      </c>
      <c r="G26" s="184">
        <v>1.6039724536227329E-3</v>
      </c>
      <c r="H26" s="174">
        <v>115285.52010413393</v>
      </c>
    </row>
    <row r="27" spans="1:8" x14ac:dyDescent="0.2">
      <c r="A27" s="138"/>
      <c r="B27" s="136"/>
      <c r="C27" s="167"/>
      <c r="D27" s="136" t="s">
        <v>221</v>
      </c>
      <c r="E27" s="136">
        <v>33.22</v>
      </c>
      <c r="F27" s="137">
        <v>52</v>
      </c>
      <c r="G27" s="183">
        <v>2.7006571165406577E-3</v>
      </c>
      <c r="H27" s="173">
        <v>194109.73025135978</v>
      </c>
    </row>
    <row r="28" spans="1:8" x14ac:dyDescent="0.2">
      <c r="A28" s="141"/>
      <c r="B28" s="139"/>
      <c r="C28" s="168">
        <v>1</v>
      </c>
      <c r="D28" s="139" t="s">
        <v>192</v>
      </c>
      <c r="E28" s="139">
        <v>168.10000000000011</v>
      </c>
      <c r="F28" s="140">
        <v>254</v>
      </c>
      <c r="G28" s="184">
        <v>1.3665877823313815E-2</v>
      </c>
      <c r="H28" s="174">
        <v>982234.96855068044</v>
      </c>
    </row>
    <row r="29" spans="1:8" x14ac:dyDescent="0.2">
      <c r="A29" s="138"/>
      <c r="B29" s="136"/>
      <c r="C29" s="167"/>
      <c r="D29" s="136" t="s">
        <v>214</v>
      </c>
      <c r="E29" s="136">
        <v>526.2999999999995</v>
      </c>
      <c r="F29" s="137">
        <v>677</v>
      </c>
      <c r="G29" s="183">
        <v>4.2786148116657041E-2</v>
      </c>
      <c r="H29" s="173">
        <v>3075254.3958847248</v>
      </c>
    </row>
    <row r="30" spans="1:8" x14ac:dyDescent="0.2">
      <c r="A30" s="141"/>
      <c r="B30" s="139"/>
      <c r="C30" s="168"/>
      <c r="D30" s="139" t="s">
        <v>224</v>
      </c>
      <c r="E30" s="139">
        <v>80.200000000000031</v>
      </c>
      <c r="F30" s="140">
        <v>96</v>
      </c>
      <c r="G30" s="184">
        <v>6.5199488484816636E-3</v>
      </c>
      <c r="H30" s="174">
        <v>468621.32348461956</v>
      </c>
    </row>
    <row r="31" spans="1:8" x14ac:dyDescent="0.2">
      <c r="A31" s="138"/>
      <c r="B31" s="136"/>
      <c r="C31" s="167"/>
      <c r="D31" s="136" t="s">
        <v>217</v>
      </c>
      <c r="E31" s="136">
        <v>0.7</v>
      </c>
      <c r="F31" s="137">
        <v>1</v>
      </c>
      <c r="G31" s="183">
        <v>5.690728421368033E-5</v>
      </c>
      <c r="H31" s="173">
        <v>4090.2110528582739</v>
      </c>
    </row>
    <row r="32" spans="1:8" x14ac:dyDescent="0.2">
      <c r="A32" s="141"/>
      <c r="B32" s="139"/>
      <c r="C32" s="168"/>
      <c r="D32" s="139" t="s">
        <v>221</v>
      </c>
      <c r="E32" s="139">
        <v>146.9</v>
      </c>
      <c r="F32" s="140">
        <v>204</v>
      </c>
      <c r="G32" s="184">
        <v>1.1942400072842344E-2</v>
      </c>
      <c r="H32" s="174">
        <v>858360.00523554347</v>
      </c>
    </row>
    <row r="33" spans="1:8" x14ac:dyDescent="0.2">
      <c r="A33" s="138"/>
      <c r="B33" s="136"/>
      <c r="C33" s="167"/>
      <c r="D33" s="136" t="s">
        <v>225</v>
      </c>
      <c r="E33" s="136">
        <v>7.6999999999999993</v>
      </c>
      <c r="F33" s="137">
        <v>10</v>
      </c>
      <c r="G33" s="183">
        <v>6.2598012635048362E-4</v>
      </c>
      <c r="H33" s="173">
        <v>44992.321581441007</v>
      </c>
    </row>
    <row r="34" spans="1:8" x14ac:dyDescent="0.2">
      <c r="A34" s="141"/>
      <c r="B34" s="139"/>
      <c r="C34" s="168"/>
      <c r="D34" s="139" t="s">
        <v>191</v>
      </c>
      <c r="E34" s="139">
        <v>5</v>
      </c>
      <c r="F34" s="140">
        <v>9</v>
      </c>
      <c r="G34" s="184">
        <v>4.0648060152628806E-4</v>
      </c>
      <c r="H34" s="174">
        <v>29215.793234701956</v>
      </c>
    </row>
    <row r="35" spans="1:8" x14ac:dyDescent="0.2">
      <c r="A35" s="138"/>
      <c r="B35" s="136"/>
      <c r="C35" s="167">
        <v>2</v>
      </c>
      <c r="D35" s="136" t="s">
        <v>191</v>
      </c>
      <c r="E35" s="136">
        <v>47.599999999999994</v>
      </c>
      <c r="F35" s="137">
        <v>31</v>
      </c>
      <c r="G35" s="183">
        <v>3.8696953265302618E-3</v>
      </c>
      <c r="H35" s="173">
        <v>278134.35159436258</v>
      </c>
    </row>
    <row r="36" spans="1:8" x14ac:dyDescent="0.2">
      <c r="A36" s="141"/>
      <c r="B36" s="139" t="s">
        <v>203</v>
      </c>
      <c r="C36" s="168">
        <v>3</v>
      </c>
      <c r="D36" s="139" t="s">
        <v>192</v>
      </c>
      <c r="E36" s="139">
        <v>376.2</v>
      </c>
      <c r="F36" s="140">
        <v>173</v>
      </c>
      <c r="G36" s="184">
        <v>3.0583600458837915E-2</v>
      </c>
      <c r="H36" s="174">
        <v>2198196.2829789752</v>
      </c>
    </row>
    <row r="37" spans="1:8" x14ac:dyDescent="0.2">
      <c r="A37" s="138"/>
      <c r="B37" s="136"/>
      <c r="C37" s="167"/>
      <c r="D37" s="136" t="s">
        <v>214</v>
      </c>
      <c r="E37" s="136">
        <v>56.4</v>
      </c>
      <c r="F37" s="137">
        <v>21</v>
      </c>
      <c r="G37" s="183">
        <v>4.585101185216529E-3</v>
      </c>
      <c r="H37" s="173">
        <v>329554.147687438</v>
      </c>
    </row>
    <row r="38" spans="1:8" x14ac:dyDescent="0.2">
      <c r="A38" s="141"/>
      <c r="B38" s="139"/>
      <c r="C38" s="168"/>
      <c r="D38" s="139" t="s">
        <v>224</v>
      </c>
      <c r="E38" s="139">
        <v>90.299999999999969</v>
      </c>
      <c r="F38" s="140">
        <v>44</v>
      </c>
      <c r="G38" s="184">
        <v>7.3410396635647602E-3</v>
      </c>
      <c r="H38" s="174">
        <v>527637.22581871715</v>
      </c>
    </row>
    <row r="39" spans="1:8" x14ac:dyDescent="0.2">
      <c r="A39" s="138"/>
      <c r="B39" s="136"/>
      <c r="C39" s="167"/>
      <c r="D39" s="136" t="s">
        <v>221</v>
      </c>
      <c r="E39" s="136">
        <v>75.299999999999983</v>
      </c>
      <c r="F39" s="137">
        <v>38</v>
      </c>
      <c r="G39" s="183">
        <v>6.1215978589858966E-3</v>
      </c>
      <c r="H39" s="173">
        <v>439989.84611461131</v>
      </c>
    </row>
    <row r="40" spans="1:8" x14ac:dyDescent="0.2">
      <c r="A40" s="141"/>
      <c r="B40" s="139"/>
      <c r="C40" s="168">
        <v>0.75</v>
      </c>
      <c r="D40" s="139" t="s">
        <v>72</v>
      </c>
      <c r="E40" s="139">
        <v>9.75</v>
      </c>
      <c r="F40" s="140">
        <v>13</v>
      </c>
      <c r="G40" s="184">
        <v>7.9263717297626179E-4</v>
      </c>
      <c r="H40" s="174">
        <v>56970.796807668819</v>
      </c>
    </row>
    <row r="41" spans="1:8" x14ac:dyDescent="0.2">
      <c r="A41" s="138"/>
      <c r="B41" s="136"/>
      <c r="C41" s="167"/>
      <c r="D41" s="136" t="s">
        <v>193</v>
      </c>
      <c r="E41" s="136">
        <v>26.47</v>
      </c>
      <c r="F41" s="137">
        <v>50</v>
      </c>
      <c r="G41" s="183">
        <v>2.1519083044801691E-3</v>
      </c>
      <c r="H41" s="173">
        <v>154668.40938451214</v>
      </c>
    </row>
    <row r="42" spans="1:8" x14ac:dyDescent="0.2">
      <c r="A42" s="141"/>
      <c r="B42" s="139"/>
      <c r="C42" s="168"/>
      <c r="D42" s="139" t="s">
        <v>191</v>
      </c>
      <c r="E42" s="139">
        <v>66.319999999999936</v>
      </c>
      <c r="F42" s="140">
        <v>140</v>
      </c>
      <c r="G42" s="184">
        <v>5.3915586986446797E-3</v>
      </c>
      <c r="H42" s="174">
        <v>387518.28146508633</v>
      </c>
    </row>
    <row r="43" spans="1:8" x14ac:dyDescent="0.2">
      <c r="A43" s="138"/>
      <c r="B43" s="136"/>
      <c r="C43" s="167">
        <v>1</v>
      </c>
      <c r="D43" s="136" t="s">
        <v>223</v>
      </c>
      <c r="E43" s="136">
        <v>4.0999999999999996</v>
      </c>
      <c r="F43" s="137">
        <v>7</v>
      </c>
      <c r="G43" s="183">
        <v>3.3331409325155619E-4</v>
      </c>
      <c r="H43" s="173">
        <v>23956.9504524556</v>
      </c>
    </row>
    <row r="44" spans="1:8" x14ac:dyDescent="0.2">
      <c r="A44" s="141"/>
      <c r="B44" s="139"/>
      <c r="C44" s="168"/>
      <c r="D44" s="139" t="s">
        <v>216</v>
      </c>
      <c r="E44" s="139">
        <v>3.3</v>
      </c>
      <c r="F44" s="140">
        <v>6</v>
      </c>
      <c r="G44" s="184">
        <v>2.6827719700735014E-4</v>
      </c>
      <c r="H44" s="174">
        <v>19282.42353490329</v>
      </c>
    </row>
    <row r="45" spans="1:8" x14ac:dyDescent="0.2">
      <c r="A45" s="138"/>
      <c r="B45" s="136"/>
      <c r="C45" s="167"/>
      <c r="D45" s="136" t="s">
        <v>217</v>
      </c>
      <c r="E45" s="136">
        <v>52.300000000000033</v>
      </c>
      <c r="F45" s="137">
        <v>81</v>
      </c>
      <c r="G45" s="183">
        <v>4.2517870919649755E-3</v>
      </c>
      <c r="H45" s="173">
        <v>305597.19723498262</v>
      </c>
    </row>
    <row r="46" spans="1:8" x14ac:dyDescent="0.2">
      <c r="A46" s="141"/>
      <c r="B46" s="139"/>
      <c r="C46" s="168"/>
      <c r="D46" s="139" t="s">
        <v>191</v>
      </c>
      <c r="E46" s="139">
        <v>889.60000000000343</v>
      </c>
      <c r="F46" s="140">
        <v>1373</v>
      </c>
      <c r="G46" s="184">
        <v>7.2321028623557451E-2</v>
      </c>
      <c r="H46" s="174">
        <v>5198073.932318192</v>
      </c>
    </row>
    <row r="47" spans="1:8" x14ac:dyDescent="0.2">
      <c r="A47" s="138"/>
      <c r="B47" s="136"/>
      <c r="C47" s="167">
        <v>2</v>
      </c>
      <c r="D47" s="136" t="s">
        <v>191</v>
      </c>
      <c r="E47" s="136">
        <v>0.6</v>
      </c>
      <c r="F47" s="137">
        <v>1</v>
      </c>
      <c r="G47" s="183">
        <v>4.8777672183154567E-5</v>
      </c>
      <c r="H47" s="173">
        <v>3505.8951881642347</v>
      </c>
    </row>
    <row r="48" spans="1:8" x14ac:dyDescent="0.2">
      <c r="A48" s="141"/>
      <c r="B48" s="139"/>
      <c r="C48" s="168">
        <v>3</v>
      </c>
      <c r="D48" s="139" t="s">
        <v>217</v>
      </c>
      <c r="E48" s="139">
        <v>36.600000000000009</v>
      </c>
      <c r="F48" s="140">
        <v>22</v>
      </c>
      <c r="G48" s="184">
        <v>2.9754380031724293E-3</v>
      </c>
      <c r="H48" s="174">
        <v>213859.60647801837</v>
      </c>
    </row>
    <row r="49" spans="1:8" x14ac:dyDescent="0.2">
      <c r="A49" s="138"/>
      <c r="B49" s="136"/>
      <c r="C49" s="167"/>
      <c r="D49" s="136" t="s">
        <v>191</v>
      </c>
      <c r="E49" s="136">
        <v>1563.5999999999963</v>
      </c>
      <c r="F49" s="137">
        <v>815</v>
      </c>
      <c r="G49" s="183">
        <v>0.12711461370930049</v>
      </c>
      <c r="H49" s="173">
        <v>9136362.8603559732</v>
      </c>
    </row>
    <row r="50" spans="1:8" x14ac:dyDescent="0.2">
      <c r="A50" s="141"/>
      <c r="B50" s="139" t="s">
        <v>204</v>
      </c>
      <c r="C50" s="168">
        <v>0.75</v>
      </c>
      <c r="D50" s="139" t="s">
        <v>191</v>
      </c>
      <c r="E50" s="139">
        <v>20.78</v>
      </c>
      <c r="F50" s="140">
        <v>28</v>
      </c>
      <c r="G50" s="184">
        <v>1.6893333799432534E-3</v>
      </c>
      <c r="H50" s="174">
        <v>121420.83668342134</v>
      </c>
    </row>
    <row r="51" spans="1:8" x14ac:dyDescent="0.2">
      <c r="A51" s="138"/>
      <c r="B51" s="136"/>
      <c r="C51" s="167">
        <v>1</v>
      </c>
      <c r="D51" s="136" t="s">
        <v>223</v>
      </c>
      <c r="E51" s="136">
        <v>4.4000000000000004</v>
      </c>
      <c r="F51" s="137">
        <v>5</v>
      </c>
      <c r="G51" s="183">
        <v>3.5770292934313353E-4</v>
      </c>
      <c r="H51" s="173">
        <v>25709.898046537724</v>
      </c>
    </row>
    <row r="52" spans="1:8" x14ac:dyDescent="0.2">
      <c r="A52" s="141"/>
      <c r="B52" s="139"/>
      <c r="C52" s="168"/>
      <c r="D52" s="139" t="s">
        <v>216</v>
      </c>
      <c r="E52" s="139">
        <v>5</v>
      </c>
      <c r="F52" s="140">
        <v>5</v>
      </c>
      <c r="G52" s="184">
        <v>4.0648060152628806E-4</v>
      </c>
      <c r="H52" s="174">
        <v>29215.793234701956</v>
      </c>
    </row>
    <row r="53" spans="1:8" x14ac:dyDescent="0.2">
      <c r="A53" s="138"/>
      <c r="B53" s="136"/>
      <c r="C53" s="167"/>
      <c r="D53" s="136" t="s">
        <v>217</v>
      </c>
      <c r="E53" s="136">
        <v>14</v>
      </c>
      <c r="F53" s="137">
        <v>14</v>
      </c>
      <c r="G53" s="183">
        <v>1.1381456842736067E-3</v>
      </c>
      <c r="H53" s="173">
        <v>81804.221057165472</v>
      </c>
    </row>
    <row r="54" spans="1:8" x14ac:dyDescent="0.2">
      <c r="A54" s="141"/>
      <c r="B54" s="139"/>
      <c r="C54" s="168"/>
      <c r="D54" s="139" t="s">
        <v>191</v>
      </c>
      <c r="E54" s="139">
        <v>370.00000000000006</v>
      </c>
      <c r="F54" s="140">
        <v>355</v>
      </c>
      <c r="G54" s="184">
        <v>3.0079564512945321E-2</v>
      </c>
      <c r="H54" s="174">
        <v>2161968.6993679451</v>
      </c>
    </row>
    <row r="55" spans="1:8" x14ac:dyDescent="0.2">
      <c r="A55" s="138"/>
      <c r="B55" s="136"/>
      <c r="C55" s="167">
        <v>2</v>
      </c>
      <c r="D55" s="136" t="s">
        <v>191</v>
      </c>
      <c r="E55" s="136">
        <v>4</v>
      </c>
      <c r="F55" s="137">
        <v>2</v>
      </c>
      <c r="G55" s="183">
        <v>3.2518448122103048E-4</v>
      </c>
      <c r="H55" s="173">
        <v>23372.634587761564</v>
      </c>
    </row>
    <row r="56" spans="1:8" x14ac:dyDescent="0.2">
      <c r="A56" s="141"/>
      <c r="B56" s="139"/>
      <c r="C56" s="168">
        <v>3</v>
      </c>
      <c r="D56" s="139" t="s">
        <v>217</v>
      </c>
      <c r="E56" s="139">
        <v>9</v>
      </c>
      <c r="F56" s="140">
        <v>3</v>
      </c>
      <c r="G56" s="184">
        <v>7.3166508274731849E-4</v>
      </c>
      <c r="H56" s="174">
        <v>52588.427822463513</v>
      </c>
    </row>
    <row r="57" spans="1:8" x14ac:dyDescent="0.2">
      <c r="A57" s="138"/>
      <c r="B57" s="136"/>
      <c r="C57" s="167"/>
      <c r="D57" s="136" t="s">
        <v>191</v>
      </c>
      <c r="E57" s="136">
        <v>917.70000000000016</v>
      </c>
      <c r="F57" s="137">
        <v>304</v>
      </c>
      <c r="G57" s="183">
        <v>7.4605449604134927E-2</v>
      </c>
      <c r="H57" s="173">
        <v>5362266.6902971976</v>
      </c>
    </row>
    <row r="58" spans="1:8" x14ac:dyDescent="0.2">
      <c r="A58" s="169" t="s">
        <v>215</v>
      </c>
      <c r="B58" s="170"/>
      <c r="C58" s="171"/>
      <c r="D58" s="170"/>
      <c r="E58" s="170">
        <v>5721.1000000000204</v>
      </c>
      <c r="F58" s="172">
        <v>5016</v>
      </c>
      <c r="G58" s="186">
        <v>0.46510323387841102</v>
      </c>
      <c r="H58" s="175">
        <v>33429294.935010791</v>
      </c>
    </row>
    <row r="59" spans="1:8" x14ac:dyDescent="0.2">
      <c r="A59" s="138">
        <v>2.5</v>
      </c>
      <c r="B59" s="136" t="s">
        <v>205</v>
      </c>
      <c r="C59" s="167">
        <v>0.75</v>
      </c>
      <c r="D59" s="136" t="s">
        <v>226</v>
      </c>
      <c r="E59" s="136">
        <v>11.840000000000002</v>
      </c>
      <c r="F59" s="137">
        <v>23</v>
      </c>
      <c r="G59" s="183">
        <v>9.625460644142503E-4</v>
      </c>
      <c r="H59" s="173">
        <v>69182.998379774246</v>
      </c>
    </row>
    <row r="60" spans="1:8" x14ac:dyDescent="0.2">
      <c r="A60" s="141"/>
      <c r="B60" s="139"/>
      <c r="C60" s="168"/>
      <c r="D60" s="139" t="s">
        <v>227</v>
      </c>
      <c r="E60" s="139">
        <v>23.870000000000008</v>
      </c>
      <c r="F60" s="140">
        <v>34</v>
      </c>
      <c r="G60" s="184">
        <v>1.9405383916865E-3</v>
      </c>
      <c r="H60" s="174">
        <v>139476.1969024672</v>
      </c>
    </row>
    <row r="61" spans="1:8" x14ac:dyDescent="0.2">
      <c r="A61" s="138"/>
      <c r="B61" s="136"/>
      <c r="C61" s="167"/>
      <c r="D61" s="136" t="s">
        <v>216</v>
      </c>
      <c r="E61" s="136">
        <v>67.219999999999928</v>
      </c>
      <c r="F61" s="137">
        <v>102</v>
      </c>
      <c r="G61" s="183">
        <v>5.4647252069194114E-3</v>
      </c>
      <c r="H61" s="173">
        <v>392777.12424733269</v>
      </c>
    </row>
    <row r="62" spans="1:8" x14ac:dyDescent="0.2">
      <c r="A62" s="141"/>
      <c r="B62" s="139"/>
      <c r="C62" s="168"/>
      <c r="D62" s="139" t="s">
        <v>217</v>
      </c>
      <c r="E62" s="139">
        <v>44.699999999999989</v>
      </c>
      <c r="F62" s="140">
        <v>65</v>
      </c>
      <c r="G62" s="184">
        <v>3.6339365776450147E-3</v>
      </c>
      <c r="H62" s="174">
        <v>261189.19151823543</v>
      </c>
    </row>
    <row r="63" spans="1:8" x14ac:dyDescent="0.2">
      <c r="A63" s="138"/>
      <c r="B63" s="136"/>
      <c r="C63" s="167">
        <v>0.80100000000000005</v>
      </c>
      <c r="D63" s="136" t="s">
        <v>226</v>
      </c>
      <c r="E63" s="136">
        <v>3.7</v>
      </c>
      <c r="F63" s="137">
        <v>3</v>
      </c>
      <c r="G63" s="183">
        <v>3.0079564512945319E-4</v>
      </c>
      <c r="H63" s="173">
        <v>21619.686993679446</v>
      </c>
    </row>
    <row r="64" spans="1:8" x14ac:dyDescent="0.2">
      <c r="A64" s="141"/>
      <c r="B64" s="139"/>
      <c r="C64" s="168"/>
      <c r="D64" s="139" t="s">
        <v>191</v>
      </c>
      <c r="E64" s="139">
        <v>28.499999999999993</v>
      </c>
      <c r="F64" s="140">
        <v>36</v>
      </c>
      <c r="G64" s="184">
        <v>2.3169394286998413E-3</v>
      </c>
      <c r="H64" s="174">
        <v>166530.0214378011</v>
      </c>
    </row>
    <row r="65" spans="1:8" x14ac:dyDescent="0.2">
      <c r="A65" s="138"/>
      <c r="B65" s="136"/>
      <c r="C65" s="167">
        <v>0.875</v>
      </c>
      <c r="D65" s="136" t="s">
        <v>217</v>
      </c>
      <c r="E65" s="136">
        <v>14.339999999999998</v>
      </c>
      <c r="F65" s="137">
        <v>18</v>
      </c>
      <c r="G65" s="183">
        <v>1.165786365177394E-3</v>
      </c>
      <c r="H65" s="173">
        <v>83790.8949971252</v>
      </c>
    </row>
    <row r="66" spans="1:8" x14ac:dyDescent="0.2">
      <c r="A66" s="141"/>
      <c r="B66" s="139"/>
      <c r="C66" s="168">
        <v>1</v>
      </c>
      <c r="D66" s="139" t="s">
        <v>226</v>
      </c>
      <c r="E66" s="139">
        <v>624.60999999999842</v>
      </c>
      <c r="F66" s="140">
        <v>684</v>
      </c>
      <c r="G66" s="184">
        <v>5.077836970386683E-2</v>
      </c>
      <c r="H66" s="174">
        <v>3649695.3224654282</v>
      </c>
    </row>
    <row r="67" spans="1:8" x14ac:dyDescent="0.2">
      <c r="A67" s="138"/>
      <c r="B67" s="136"/>
      <c r="C67" s="167"/>
      <c r="D67" s="136" t="s">
        <v>216</v>
      </c>
      <c r="E67" s="136">
        <v>412.19999999999902</v>
      </c>
      <c r="F67" s="137">
        <v>506</v>
      </c>
      <c r="G67" s="183">
        <v>3.3510260789827107E-2</v>
      </c>
      <c r="H67" s="173">
        <v>2408549.9942688234</v>
      </c>
    </row>
    <row r="68" spans="1:8" x14ac:dyDescent="0.2">
      <c r="A68" s="141"/>
      <c r="B68" s="139"/>
      <c r="C68" s="168"/>
      <c r="D68" s="139" t="s">
        <v>217</v>
      </c>
      <c r="E68" s="139">
        <v>294.20999999999958</v>
      </c>
      <c r="F68" s="140">
        <v>301</v>
      </c>
      <c r="G68" s="184">
        <v>2.3918131555009808E-2</v>
      </c>
      <c r="H68" s="174">
        <v>1719115.70551633</v>
      </c>
    </row>
    <row r="69" spans="1:8" x14ac:dyDescent="0.2">
      <c r="A69" s="138"/>
      <c r="B69" s="136"/>
      <c r="C69" s="167">
        <v>3</v>
      </c>
      <c r="D69" s="136" t="s">
        <v>226</v>
      </c>
      <c r="E69" s="136">
        <v>68.740000000000023</v>
      </c>
      <c r="F69" s="137">
        <v>28</v>
      </c>
      <c r="G69" s="183">
        <v>5.5882953097834099E-3</v>
      </c>
      <c r="H69" s="173">
        <v>401658.72539068258</v>
      </c>
    </row>
    <row r="70" spans="1:8" x14ac:dyDescent="0.2">
      <c r="A70" s="141"/>
      <c r="B70" s="139"/>
      <c r="C70" s="168"/>
      <c r="D70" s="139" t="s">
        <v>216</v>
      </c>
      <c r="E70" s="139">
        <v>742.12999999999931</v>
      </c>
      <c r="F70" s="140">
        <v>307</v>
      </c>
      <c r="G70" s="184">
        <v>6.0332289762140778E-2</v>
      </c>
      <c r="H70" s="174">
        <v>4336383.3266538689</v>
      </c>
    </row>
    <row r="71" spans="1:8" x14ac:dyDescent="0.2">
      <c r="A71" s="138"/>
      <c r="B71" s="136"/>
      <c r="C71" s="167"/>
      <c r="D71" s="136" t="s">
        <v>217</v>
      </c>
      <c r="E71" s="136">
        <v>815.09999999999945</v>
      </c>
      <c r="F71" s="137">
        <v>310</v>
      </c>
      <c r="G71" s="183">
        <v>6.6264467660815438E-2</v>
      </c>
      <c r="H71" s="173">
        <v>4762758.61312111</v>
      </c>
    </row>
    <row r="72" spans="1:8" x14ac:dyDescent="0.2">
      <c r="A72" s="141"/>
      <c r="B72" s="139"/>
      <c r="C72" s="168"/>
      <c r="D72" s="139" t="s">
        <v>225</v>
      </c>
      <c r="E72" s="139">
        <v>2.63</v>
      </c>
      <c r="F72" s="140">
        <v>1</v>
      </c>
      <c r="G72" s="184">
        <v>2.1380879640282751E-4</v>
      </c>
      <c r="H72" s="174">
        <v>15367.507241453228</v>
      </c>
    </row>
    <row r="73" spans="1:8" x14ac:dyDescent="0.2">
      <c r="A73" s="138"/>
      <c r="B73" s="136" t="s">
        <v>206</v>
      </c>
      <c r="C73" s="167">
        <v>0.75</v>
      </c>
      <c r="D73" s="136" t="s">
        <v>218</v>
      </c>
      <c r="E73" s="136">
        <v>1.22</v>
      </c>
      <c r="F73" s="137">
        <v>2</v>
      </c>
      <c r="G73" s="183">
        <v>9.9181266772414283E-5</v>
      </c>
      <c r="H73" s="173">
        <v>7128.6535492672765</v>
      </c>
    </row>
    <row r="74" spans="1:8" x14ac:dyDescent="0.2">
      <c r="A74" s="141"/>
      <c r="B74" s="139"/>
      <c r="C74" s="168">
        <v>1</v>
      </c>
      <c r="D74" s="139" t="s">
        <v>55</v>
      </c>
      <c r="E74" s="139">
        <v>5.0199999999999996</v>
      </c>
      <c r="F74" s="140">
        <v>6</v>
      </c>
      <c r="G74" s="184">
        <v>4.0810652393239317E-4</v>
      </c>
      <c r="H74" s="174">
        <v>29332.656407640759</v>
      </c>
    </row>
    <row r="75" spans="1:8" x14ac:dyDescent="0.2">
      <c r="A75" s="138"/>
      <c r="B75" s="136"/>
      <c r="C75" s="167"/>
      <c r="D75" s="136" t="s">
        <v>217</v>
      </c>
      <c r="E75" s="136">
        <v>31.98</v>
      </c>
      <c r="F75" s="137">
        <v>34</v>
      </c>
      <c r="G75" s="183">
        <v>2.5998499273621385E-3</v>
      </c>
      <c r="H75" s="173">
        <v>186864.2135291537</v>
      </c>
    </row>
    <row r="76" spans="1:8" x14ac:dyDescent="0.2">
      <c r="A76" s="141"/>
      <c r="B76" s="139"/>
      <c r="C76" s="168"/>
      <c r="D76" s="139" t="s">
        <v>218</v>
      </c>
      <c r="E76" s="139">
        <v>15.32</v>
      </c>
      <c r="F76" s="140">
        <v>20</v>
      </c>
      <c r="G76" s="184">
        <v>1.2454565630765466E-3</v>
      </c>
      <c r="H76" s="174">
        <v>89517.190471126785</v>
      </c>
    </row>
    <row r="77" spans="1:8" x14ac:dyDescent="0.2">
      <c r="A77" s="138"/>
      <c r="B77" s="136"/>
      <c r="C77" s="167"/>
      <c r="D77" s="136" t="s">
        <v>231</v>
      </c>
      <c r="E77" s="136">
        <v>13.78</v>
      </c>
      <c r="F77" s="137">
        <v>13</v>
      </c>
      <c r="G77" s="183">
        <v>1.1202605378064499E-3</v>
      </c>
      <c r="H77" s="173">
        <v>80518.726154838587</v>
      </c>
    </row>
    <row r="78" spans="1:8" x14ac:dyDescent="0.2">
      <c r="A78" s="141"/>
      <c r="B78" s="139"/>
      <c r="C78" s="168">
        <v>2</v>
      </c>
      <c r="D78" s="139" t="s">
        <v>55</v>
      </c>
      <c r="E78" s="139">
        <v>65.25</v>
      </c>
      <c r="F78" s="140">
        <v>39</v>
      </c>
      <c r="G78" s="184">
        <v>5.3045718499180597E-3</v>
      </c>
      <c r="H78" s="174">
        <v>381266.10171286052</v>
      </c>
    </row>
    <row r="79" spans="1:8" x14ac:dyDescent="0.2">
      <c r="A79" s="138"/>
      <c r="B79" s="136"/>
      <c r="C79" s="167">
        <v>3</v>
      </c>
      <c r="D79" s="136" t="s">
        <v>55</v>
      </c>
      <c r="E79" s="136">
        <v>28.9</v>
      </c>
      <c r="F79" s="137">
        <v>10</v>
      </c>
      <c r="G79" s="183">
        <v>2.349457876821945E-3</v>
      </c>
      <c r="H79" s="173">
        <v>168867.2848965773</v>
      </c>
    </row>
    <row r="80" spans="1:8" x14ac:dyDescent="0.2">
      <c r="A80" s="141"/>
      <c r="B80" s="139"/>
      <c r="C80" s="168"/>
      <c r="D80" s="139" t="s">
        <v>217</v>
      </c>
      <c r="E80" s="139">
        <v>133.27000000000001</v>
      </c>
      <c r="F80" s="140">
        <v>47</v>
      </c>
      <c r="G80" s="184">
        <v>1.0834333953081683E-2</v>
      </c>
      <c r="H80" s="174">
        <v>778717.75287774601</v>
      </c>
    </row>
    <row r="81" spans="1:8" x14ac:dyDescent="0.2">
      <c r="A81" s="138"/>
      <c r="B81" s="136"/>
      <c r="C81" s="167"/>
      <c r="D81" s="136" t="s">
        <v>218</v>
      </c>
      <c r="E81" s="136">
        <v>3.75</v>
      </c>
      <c r="F81" s="137">
        <v>1</v>
      </c>
      <c r="G81" s="183">
        <v>3.0486045114471605E-4</v>
      </c>
      <c r="H81" s="173">
        <v>21911.844926026464</v>
      </c>
    </row>
    <row r="82" spans="1:8" x14ac:dyDescent="0.2">
      <c r="A82" s="141"/>
      <c r="B82" s="139"/>
      <c r="C82" s="168"/>
      <c r="D82" s="139" t="s">
        <v>231</v>
      </c>
      <c r="E82" s="139">
        <v>78.44</v>
      </c>
      <c r="F82" s="140">
        <v>26</v>
      </c>
      <c r="G82" s="184">
        <v>6.3768676767444075E-3</v>
      </c>
      <c r="H82" s="174">
        <v>458337.3642660043</v>
      </c>
    </row>
    <row r="83" spans="1:8" x14ac:dyDescent="0.2">
      <c r="A83" s="138"/>
      <c r="B83" s="136" t="s">
        <v>207</v>
      </c>
      <c r="C83" s="167">
        <v>1</v>
      </c>
      <c r="D83" s="136" t="s">
        <v>230</v>
      </c>
      <c r="E83" s="136">
        <v>5.01</v>
      </c>
      <c r="F83" s="137">
        <v>5</v>
      </c>
      <c r="G83" s="183">
        <v>4.0729356272934064E-4</v>
      </c>
      <c r="H83" s="173">
        <v>29274.22482117136</v>
      </c>
    </row>
    <row r="84" spans="1:8" x14ac:dyDescent="0.2">
      <c r="A84" s="141"/>
      <c r="B84" s="139"/>
      <c r="C84" s="168">
        <v>3</v>
      </c>
      <c r="D84" s="139" t="s">
        <v>230</v>
      </c>
      <c r="E84" s="139">
        <v>21.4</v>
      </c>
      <c r="F84" s="140">
        <v>8</v>
      </c>
      <c r="G84" s="184">
        <v>1.7397369745325128E-3</v>
      </c>
      <c r="H84" s="174">
        <v>125043.59504452437</v>
      </c>
    </row>
    <row r="85" spans="1:8" x14ac:dyDescent="0.2">
      <c r="A85" s="138"/>
      <c r="B85" s="136" t="s">
        <v>208</v>
      </c>
      <c r="C85" s="167">
        <v>0.75</v>
      </c>
      <c r="D85" s="136" t="s">
        <v>223</v>
      </c>
      <c r="E85" s="136">
        <v>10.809999999999999</v>
      </c>
      <c r="F85" s="137">
        <v>15</v>
      </c>
      <c r="G85" s="183">
        <v>8.788110604998347E-4</v>
      </c>
      <c r="H85" s="173">
        <v>63164.544973425618</v>
      </c>
    </row>
    <row r="86" spans="1:8" x14ac:dyDescent="0.2">
      <c r="A86" s="141"/>
      <c r="B86" s="139"/>
      <c r="C86" s="168">
        <v>1</v>
      </c>
      <c r="D86" s="139" t="s">
        <v>223</v>
      </c>
      <c r="E86" s="139">
        <v>112.82999999999993</v>
      </c>
      <c r="F86" s="140">
        <v>118</v>
      </c>
      <c r="G86" s="184">
        <v>9.1726412540422114E-3</v>
      </c>
      <c r="H86" s="174">
        <v>659283.59013428399</v>
      </c>
    </row>
    <row r="87" spans="1:8" x14ac:dyDescent="0.2">
      <c r="A87" s="138"/>
      <c r="B87" s="136"/>
      <c r="C87" s="167"/>
      <c r="D87" s="136" t="s">
        <v>217</v>
      </c>
      <c r="E87" s="136">
        <v>2.5</v>
      </c>
      <c r="F87" s="137">
        <v>2</v>
      </c>
      <c r="G87" s="183">
        <v>2.0324030076314403E-4</v>
      </c>
      <c r="H87" s="173">
        <v>14607.896617350978</v>
      </c>
    </row>
    <row r="88" spans="1:8" x14ac:dyDescent="0.2">
      <c r="A88" s="141"/>
      <c r="B88" s="139"/>
      <c r="C88" s="168"/>
      <c r="D88" s="139" t="s">
        <v>229</v>
      </c>
      <c r="E88" s="139">
        <v>0.88</v>
      </c>
      <c r="F88" s="140">
        <v>1</v>
      </c>
      <c r="G88" s="184">
        <v>7.1540585868626707E-5</v>
      </c>
      <c r="H88" s="174">
        <v>5141.9796093075447</v>
      </c>
    </row>
    <row r="89" spans="1:8" x14ac:dyDescent="0.2">
      <c r="A89" s="138"/>
      <c r="B89" s="136"/>
      <c r="C89" s="167">
        <v>3</v>
      </c>
      <c r="D89" s="136" t="s">
        <v>223</v>
      </c>
      <c r="E89" s="136">
        <v>361.06999999999982</v>
      </c>
      <c r="F89" s="137">
        <v>129</v>
      </c>
      <c r="G89" s="183">
        <v>2.9353590158619353E-2</v>
      </c>
      <c r="H89" s="173">
        <v>2109789.2926507657</v>
      </c>
    </row>
    <row r="90" spans="1:8" x14ac:dyDescent="0.2">
      <c r="A90" s="141"/>
      <c r="B90" s="139"/>
      <c r="C90" s="168"/>
      <c r="D90" s="139" t="s">
        <v>217</v>
      </c>
      <c r="E90" s="139">
        <v>8.629999999999999</v>
      </c>
      <c r="F90" s="140">
        <v>3</v>
      </c>
      <c r="G90" s="184">
        <v>7.0158551823437318E-4</v>
      </c>
      <c r="H90" s="174">
        <v>50426.45912309557</v>
      </c>
    </row>
    <row r="91" spans="1:8" x14ac:dyDescent="0.2">
      <c r="A91" s="138"/>
      <c r="B91" s="136" t="s">
        <v>209</v>
      </c>
      <c r="C91" s="167">
        <v>0.75</v>
      </c>
      <c r="D91" s="136" t="s">
        <v>216</v>
      </c>
      <c r="E91" s="136">
        <v>0.94</v>
      </c>
      <c r="F91" s="137">
        <v>1</v>
      </c>
      <c r="G91" s="183">
        <v>7.6418353086942157E-5</v>
      </c>
      <c r="H91" s="173">
        <v>5492.5691281239679</v>
      </c>
    </row>
    <row r="92" spans="1:8" x14ac:dyDescent="0.2">
      <c r="A92" s="141"/>
      <c r="B92" s="139"/>
      <c r="C92" s="168"/>
      <c r="D92" s="139" t="s">
        <v>225</v>
      </c>
      <c r="E92" s="139">
        <v>0.94</v>
      </c>
      <c r="F92" s="140">
        <v>1</v>
      </c>
      <c r="G92" s="184">
        <v>7.6418353086942157E-5</v>
      </c>
      <c r="H92" s="174">
        <v>5492.5691281239679</v>
      </c>
    </row>
    <row r="93" spans="1:8" x14ac:dyDescent="0.2">
      <c r="A93" s="138"/>
      <c r="B93" s="136"/>
      <c r="C93" s="167">
        <v>1</v>
      </c>
      <c r="D93" s="136" t="s">
        <v>228</v>
      </c>
      <c r="E93" s="136">
        <v>5</v>
      </c>
      <c r="F93" s="137">
        <v>3</v>
      </c>
      <c r="G93" s="183">
        <v>4.0648060152628806E-4</v>
      </c>
      <c r="H93" s="173">
        <v>29215.793234701956</v>
      </c>
    </row>
    <row r="94" spans="1:8" x14ac:dyDescent="0.2">
      <c r="A94" s="141"/>
      <c r="B94" s="139"/>
      <c r="C94" s="168"/>
      <c r="D94" s="139" t="s">
        <v>216</v>
      </c>
      <c r="E94" s="139">
        <v>84.63</v>
      </c>
      <c r="F94" s="140">
        <v>65</v>
      </c>
      <c r="G94" s="184">
        <v>6.8800906614339512E-3</v>
      </c>
      <c r="H94" s="174">
        <v>494506.51629056525</v>
      </c>
    </row>
    <row r="95" spans="1:8" x14ac:dyDescent="0.2">
      <c r="A95" s="138"/>
      <c r="B95" s="136"/>
      <c r="C95" s="167">
        <v>3</v>
      </c>
      <c r="D95" s="136" t="s">
        <v>216</v>
      </c>
      <c r="E95" s="136">
        <v>350.30999999999995</v>
      </c>
      <c r="F95" s="137">
        <v>96</v>
      </c>
      <c r="G95" s="183">
        <v>2.8478843904134792E-2</v>
      </c>
      <c r="H95" s="173">
        <v>2046916.9056096883</v>
      </c>
    </row>
    <row r="96" spans="1:8" x14ac:dyDescent="0.2">
      <c r="A96" s="141"/>
      <c r="B96" s="139"/>
      <c r="C96" s="168"/>
      <c r="D96" s="139" t="s">
        <v>225</v>
      </c>
      <c r="E96" s="139">
        <v>15</v>
      </c>
      <c r="F96" s="140">
        <v>4</v>
      </c>
      <c r="G96" s="184">
        <v>1.2194418045788642E-3</v>
      </c>
      <c r="H96" s="174">
        <v>87647.379704105857</v>
      </c>
    </row>
    <row r="97" spans="1:8" x14ac:dyDescent="0.2">
      <c r="A97" s="130" t="s">
        <v>219</v>
      </c>
      <c r="B97" s="131"/>
      <c r="C97" s="176"/>
      <c r="D97" s="131"/>
      <c r="E97" s="131">
        <v>4510.670000000111</v>
      </c>
      <c r="F97" s="135">
        <v>3067</v>
      </c>
      <c r="G97" s="185">
        <v>0.36669997097732537</v>
      </c>
      <c r="H97" s="177">
        <v>26356560.413995262</v>
      </c>
    </row>
    <row r="98" spans="1:8" x14ac:dyDescent="0.2">
      <c r="A98" s="169" t="s">
        <v>39</v>
      </c>
      <c r="B98" s="170"/>
      <c r="C98" s="171"/>
      <c r="D98" s="170"/>
      <c r="E98" s="170"/>
      <c r="F98" s="172">
        <v>12300.70999999895</v>
      </c>
      <c r="G98" s="186">
        <v>1</v>
      </c>
      <c r="H98" s="175">
        <v>71875000</v>
      </c>
    </row>
    <row r="101" spans="1:8" ht="46.5" customHeight="1" x14ac:dyDescent="0.2">
      <c r="A101" s="195" t="s">
        <v>281</v>
      </c>
      <c r="B101" s="196"/>
      <c r="C101" s="196"/>
      <c r="D101" s="196"/>
      <c r="E101" s="196"/>
    </row>
  </sheetData>
  <mergeCells count="1">
    <mergeCell ref="A101:E10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869"/>
  <sheetViews>
    <sheetView topLeftCell="A25" workbookViewId="0">
      <selection activeCell="D27" sqref="D27"/>
    </sheetView>
  </sheetViews>
  <sheetFormatPr defaultColWidth="8.88671875" defaultRowHeight="12.75" x14ac:dyDescent="0.2"/>
  <cols>
    <col min="1" max="1" width="44.109375" style="24" customWidth="1"/>
    <col min="2" max="4" width="11.33203125" style="21" customWidth="1"/>
    <col min="5" max="5" width="15.33203125" style="21" customWidth="1"/>
    <col min="6" max="10" width="11.33203125" style="21" customWidth="1"/>
    <col min="11" max="11" width="15" style="21" customWidth="1"/>
    <col min="12" max="28" width="11.33203125" style="21" customWidth="1"/>
    <col min="29" max="29" width="13.77734375" style="21" customWidth="1"/>
    <col min="30" max="32" width="14.109375" style="21" customWidth="1"/>
    <col min="33" max="41" width="10.5546875" style="21" customWidth="1"/>
    <col min="42" max="42" width="13.44140625" style="22" bestFit="1" customWidth="1"/>
    <col min="43" max="43" width="12.6640625" style="23" bestFit="1" customWidth="1"/>
    <col min="44" max="16384" width="8.88671875" style="24"/>
  </cols>
  <sheetData>
    <row r="2" spans="1:43" ht="15.75" x14ac:dyDescent="0.25">
      <c r="A2" s="1" t="s">
        <v>188</v>
      </c>
      <c r="D2" s="2" t="s">
        <v>0</v>
      </c>
    </row>
    <row r="3" spans="1:43" x14ac:dyDescent="0.2">
      <c r="A3" s="25"/>
    </row>
    <row r="4" spans="1:43" s="35" customFormat="1" ht="40.5" customHeight="1" thickBot="1" x14ac:dyDescent="0.25">
      <c r="A4" s="40" t="s">
        <v>46</v>
      </c>
      <c r="B4" s="41" t="s">
        <v>6</v>
      </c>
      <c r="C4" s="41" t="s">
        <v>9</v>
      </c>
      <c r="D4" s="41" t="s">
        <v>7</v>
      </c>
      <c r="E4" s="41" t="s">
        <v>8</v>
      </c>
      <c r="F4" s="41" t="s">
        <v>37</v>
      </c>
      <c r="G4" s="41" t="s">
        <v>10</v>
      </c>
      <c r="H4" s="51" t="s">
        <v>38</v>
      </c>
      <c r="I4" s="40" t="s">
        <v>11</v>
      </c>
      <c r="J4" s="41" t="s">
        <v>12</v>
      </c>
      <c r="K4" s="41" t="s">
        <v>16</v>
      </c>
      <c r="L4" s="41" t="s">
        <v>19</v>
      </c>
      <c r="M4" s="41" t="s">
        <v>41</v>
      </c>
      <c r="N4" s="41" t="s">
        <v>15</v>
      </c>
      <c r="O4" s="41" t="s">
        <v>22</v>
      </c>
      <c r="P4" s="51" t="s">
        <v>14</v>
      </c>
      <c r="Q4" s="40" t="s">
        <v>20</v>
      </c>
      <c r="R4" s="41" t="s">
        <v>13</v>
      </c>
      <c r="S4" s="41" t="s">
        <v>18</v>
      </c>
      <c r="T4" s="41" t="s">
        <v>42</v>
      </c>
      <c r="U4" s="41" t="s">
        <v>17</v>
      </c>
      <c r="V4" s="41" t="s">
        <v>25</v>
      </c>
      <c r="W4" s="41" t="s">
        <v>21</v>
      </c>
      <c r="X4" s="51" t="s">
        <v>43</v>
      </c>
      <c r="Y4" s="40" t="s">
        <v>24</v>
      </c>
      <c r="Z4" s="41" t="s">
        <v>26</v>
      </c>
      <c r="AA4" s="41" t="s">
        <v>23</v>
      </c>
      <c r="AB4" s="41" t="s">
        <v>40</v>
      </c>
      <c r="AC4" s="41" t="s">
        <v>39</v>
      </c>
      <c r="AD4" s="31"/>
      <c r="AE4" s="31"/>
      <c r="AF4" s="31"/>
      <c r="AG4" s="32"/>
      <c r="AH4" s="31"/>
      <c r="AI4" s="31"/>
      <c r="AJ4" s="31"/>
      <c r="AK4" s="31"/>
      <c r="AL4" s="31"/>
      <c r="AM4" s="31"/>
      <c r="AN4" s="31"/>
      <c r="AO4" s="31"/>
      <c r="AP4" s="33"/>
      <c r="AQ4" s="34"/>
    </row>
    <row r="5" spans="1:43" ht="15.75" thickTop="1" x14ac:dyDescent="0.25">
      <c r="A5" s="49" t="s">
        <v>277</v>
      </c>
      <c r="B5" s="98">
        <v>366146.0004428284</v>
      </c>
      <c r="C5" s="98">
        <v>158136.37272568015</v>
      </c>
      <c r="D5" s="98">
        <v>512359.12231672322</v>
      </c>
      <c r="E5" s="98">
        <v>324584.9546166049</v>
      </c>
      <c r="F5" s="98">
        <v>252023.45657573926</v>
      </c>
      <c r="G5" s="98">
        <v>54506.289608162042</v>
      </c>
      <c r="H5" s="98">
        <v>189136.82494032223</v>
      </c>
      <c r="I5" s="98">
        <v>340664.31005101284</v>
      </c>
      <c r="J5" s="98">
        <v>13626.572402040516</v>
      </c>
      <c r="K5" s="98">
        <v>0</v>
      </c>
      <c r="L5" s="98">
        <v>6813.2862010202552</v>
      </c>
      <c r="M5" s="98">
        <v>0</v>
      </c>
      <c r="N5" s="98">
        <v>6813.2862010202552</v>
      </c>
      <c r="O5" s="98">
        <v>0</v>
      </c>
      <c r="P5" s="98">
        <v>0</v>
      </c>
      <c r="Q5" s="98">
        <v>0</v>
      </c>
      <c r="R5" s="98">
        <v>6813.2862010202562</v>
      </c>
      <c r="S5" s="98">
        <v>0</v>
      </c>
      <c r="T5" s="98">
        <v>0</v>
      </c>
      <c r="U5" s="98">
        <v>0</v>
      </c>
      <c r="V5" s="98">
        <v>0</v>
      </c>
      <c r="W5" s="98">
        <v>0</v>
      </c>
      <c r="X5" s="98">
        <v>0</v>
      </c>
      <c r="Y5" s="98">
        <v>0</v>
      </c>
      <c r="Z5" s="98">
        <v>0</v>
      </c>
      <c r="AA5" s="98">
        <v>0</v>
      </c>
      <c r="AB5" s="98">
        <v>0</v>
      </c>
      <c r="AC5" s="98">
        <v>2231623.7622821741</v>
      </c>
      <c r="AG5" s="26"/>
      <c r="AP5" s="27"/>
    </row>
    <row r="6" spans="1:43" ht="15" x14ac:dyDescent="0.25">
      <c r="A6" s="48" t="s">
        <v>47</v>
      </c>
      <c r="B6" s="52">
        <v>279174.40208680485</v>
      </c>
      <c r="C6" s="52">
        <v>114974.20464221684</v>
      </c>
      <c r="D6" s="52">
        <v>2768067.8513195044</v>
      </c>
      <c r="E6" s="52">
        <v>0</v>
      </c>
      <c r="F6" s="52">
        <v>492430.26017873897</v>
      </c>
      <c r="G6" s="52">
        <v>1519362.8228275168</v>
      </c>
      <c r="H6" s="52">
        <v>215129.51179721448</v>
      </c>
      <c r="I6" s="52">
        <v>156279.75223590215</v>
      </c>
      <c r="J6" s="52">
        <v>34066.431005101287</v>
      </c>
      <c r="K6" s="52">
        <v>0</v>
      </c>
      <c r="L6" s="52">
        <v>31852.112989769692</v>
      </c>
      <c r="M6" s="52">
        <v>0</v>
      </c>
      <c r="N6" s="52">
        <v>0</v>
      </c>
      <c r="O6" s="52">
        <v>0</v>
      </c>
      <c r="P6" s="52">
        <v>0</v>
      </c>
      <c r="Q6" s="52">
        <v>0</v>
      </c>
      <c r="R6" s="52">
        <v>0</v>
      </c>
      <c r="S6" s="52">
        <v>0</v>
      </c>
      <c r="T6" s="52">
        <v>0</v>
      </c>
      <c r="U6" s="52">
        <v>0</v>
      </c>
      <c r="V6" s="52">
        <v>0</v>
      </c>
      <c r="W6" s="52">
        <v>0</v>
      </c>
      <c r="X6" s="52">
        <v>0</v>
      </c>
      <c r="Y6" s="52">
        <v>0</v>
      </c>
      <c r="Z6" s="52">
        <v>0</v>
      </c>
      <c r="AA6" s="52">
        <v>0</v>
      </c>
      <c r="AB6" s="52">
        <v>0</v>
      </c>
      <c r="AC6" s="52">
        <v>5611337.3490827708</v>
      </c>
      <c r="AG6" s="26"/>
      <c r="AP6" s="27"/>
    </row>
    <row r="7" spans="1:43" ht="15" x14ac:dyDescent="0.25">
      <c r="A7" s="49" t="s">
        <v>48</v>
      </c>
      <c r="B7" s="98">
        <v>561755.44727411983</v>
      </c>
      <c r="C7" s="98">
        <v>51644.709403733541</v>
      </c>
      <c r="D7" s="98">
        <v>129452.43781938487</v>
      </c>
      <c r="E7" s="98">
        <v>88572.720613263315</v>
      </c>
      <c r="F7" s="98">
        <v>119232.50851785447</v>
      </c>
      <c r="G7" s="98">
        <v>0</v>
      </c>
      <c r="H7" s="98">
        <v>460714.41291298962</v>
      </c>
      <c r="I7" s="98">
        <v>40879.717206121546</v>
      </c>
      <c r="J7" s="98">
        <v>6813.286201020258</v>
      </c>
      <c r="K7" s="98">
        <v>0</v>
      </c>
      <c r="L7" s="98">
        <v>0</v>
      </c>
      <c r="M7" s="98">
        <v>0</v>
      </c>
      <c r="N7" s="98">
        <v>5109.9646507651914</v>
      </c>
      <c r="O7" s="98">
        <v>0</v>
      </c>
      <c r="P7" s="98">
        <v>0</v>
      </c>
      <c r="Q7" s="98">
        <v>0</v>
      </c>
      <c r="R7" s="98">
        <v>0</v>
      </c>
      <c r="S7" s="98">
        <v>0</v>
      </c>
      <c r="T7" s="98">
        <v>0</v>
      </c>
      <c r="U7" s="98">
        <v>0</v>
      </c>
      <c r="V7" s="98">
        <v>0</v>
      </c>
      <c r="W7" s="98">
        <v>0</v>
      </c>
      <c r="X7" s="98">
        <v>0</v>
      </c>
      <c r="Y7" s="98">
        <v>0</v>
      </c>
      <c r="Z7" s="98">
        <v>0</v>
      </c>
      <c r="AA7" s="98">
        <v>0</v>
      </c>
      <c r="AB7" s="98">
        <v>8584.7406132855231</v>
      </c>
      <c r="AC7" s="98">
        <v>1472759.9452125384</v>
      </c>
      <c r="AG7" s="26"/>
      <c r="AP7" s="27"/>
    </row>
    <row r="8" spans="1:43" ht="15" x14ac:dyDescent="0.25">
      <c r="A8" s="48" t="s">
        <v>49</v>
      </c>
      <c r="B8" s="52">
        <v>1298782.6820694855</v>
      </c>
      <c r="C8" s="52">
        <v>0</v>
      </c>
      <c r="D8" s="52">
        <v>545062.89608162048</v>
      </c>
      <c r="E8" s="52">
        <v>1023696.2517032932</v>
      </c>
      <c r="F8" s="52">
        <v>51099.646507651909</v>
      </c>
      <c r="G8" s="52">
        <v>626822.33049386356</v>
      </c>
      <c r="H8" s="52">
        <v>318691.46205272235</v>
      </c>
      <c r="I8" s="52">
        <v>119232.50851785451</v>
      </c>
      <c r="J8" s="52">
        <v>544551.89961654413</v>
      </c>
      <c r="K8" s="52">
        <v>0</v>
      </c>
      <c r="L8" s="52">
        <v>0</v>
      </c>
      <c r="M8" s="52">
        <v>0</v>
      </c>
      <c r="N8" s="52">
        <v>0</v>
      </c>
      <c r="O8" s="52">
        <v>0</v>
      </c>
      <c r="P8" s="52">
        <v>57912.932708672161</v>
      </c>
      <c r="Q8" s="52">
        <v>0</v>
      </c>
      <c r="R8" s="52">
        <v>0</v>
      </c>
      <c r="S8" s="52">
        <v>0</v>
      </c>
      <c r="T8" s="52">
        <v>0</v>
      </c>
      <c r="U8" s="52">
        <v>0</v>
      </c>
      <c r="V8" s="52">
        <v>0</v>
      </c>
      <c r="W8" s="52">
        <v>0</v>
      </c>
      <c r="X8" s="52">
        <v>0</v>
      </c>
      <c r="Y8" s="52">
        <v>0</v>
      </c>
      <c r="Z8" s="52">
        <v>0</v>
      </c>
      <c r="AA8" s="52">
        <v>0</v>
      </c>
      <c r="AB8" s="52">
        <v>0</v>
      </c>
      <c r="AC8" s="52">
        <v>4585852.6097517079</v>
      </c>
      <c r="AG8" s="26"/>
      <c r="AP8" s="27"/>
    </row>
    <row r="9" spans="1:43" ht="15" x14ac:dyDescent="0.25">
      <c r="A9" s="49" t="s">
        <v>50</v>
      </c>
      <c r="B9" s="98">
        <v>5568328.4799388284</v>
      </c>
      <c r="C9" s="98">
        <v>0</v>
      </c>
      <c r="D9" s="98">
        <v>194178.65672907731</v>
      </c>
      <c r="E9" s="98">
        <v>430088.69143940357</v>
      </c>
      <c r="F9" s="98">
        <v>119232.50851785447</v>
      </c>
      <c r="G9" s="98">
        <v>0</v>
      </c>
      <c r="H9" s="98">
        <v>5981554.2880307063</v>
      </c>
      <c r="I9" s="98">
        <v>19928.862137984252</v>
      </c>
      <c r="J9" s="98">
        <v>17033.215502550644</v>
      </c>
      <c r="K9" s="98">
        <v>0</v>
      </c>
      <c r="L9" s="98">
        <v>0</v>
      </c>
      <c r="M9" s="98">
        <v>0</v>
      </c>
      <c r="N9" s="98">
        <v>0</v>
      </c>
      <c r="O9" s="98">
        <v>0</v>
      </c>
      <c r="P9" s="98">
        <v>17033.215502550636</v>
      </c>
      <c r="Q9" s="98">
        <v>0</v>
      </c>
      <c r="R9" s="98">
        <v>0</v>
      </c>
      <c r="S9" s="98">
        <v>0</v>
      </c>
      <c r="T9" s="98">
        <v>0</v>
      </c>
      <c r="U9" s="98">
        <v>0</v>
      </c>
      <c r="V9" s="98">
        <v>0</v>
      </c>
      <c r="W9" s="98">
        <v>0</v>
      </c>
      <c r="X9" s="98">
        <v>0</v>
      </c>
      <c r="Y9" s="98">
        <v>0</v>
      </c>
      <c r="Z9" s="98">
        <v>0</v>
      </c>
      <c r="AA9" s="98">
        <v>0</v>
      </c>
      <c r="AB9" s="98">
        <v>0</v>
      </c>
      <c r="AC9" s="98">
        <v>12347377.917798955</v>
      </c>
      <c r="AG9" s="26"/>
      <c r="AP9" s="27"/>
    </row>
    <row r="10" spans="1:43" ht="15" x14ac:dyDescent="0.25">
      <c r="A10" s="48" t="s">
        <v>51</v>
      </c>
      <c r="B10" s="52">
        <v>2265553.9275632538</v>
      </c>
      <c r="C10" s="52">
        <v>327037.73764897237</v>
      </c>
      <c r="D10" s="52">
        <v>592755.89948876237</v>
      </c>
      <c r="E10" s="52">
        <v>656800.78977835237</v>
      </c>
      <c r="F10" s="52">
        <v>888452.52061304136</v>
      </c>
      <c r="G10" s="52">
        <v>27253.144804081021</v>
      </c>
      <c r="H10" s="52">
        <v>1077044.2826572815</v>
      </c>
      <c r="I10" s="52">
        <v>13626.572402040516</v>
      </c>
      <c r="J10" s="52">
        <v>0</v>
      </c>
      <c r="K10" s="52">
        <v>27253.144804081021</v>
      </c>
      <c r="L10" s="52">
        <v>0</v>
      </c>
      <c r="M10" s="52">
        <v>0</v>
      </c>
      <c r="N10" s="52">
        <v>0</v>
      </c>
      <c r="O10" s="52">
        <v>0</v>
      </c>
      <c r="P10" s="52">
        <v>0</v>
      </c>
      <c r="Q10" s="52">
        <v>0</v>
      </c>
      <c r="R10" s="52">
        <v>13626.572402040512</v>
      </c>
      <c r="S10" s="52">
        <v>0</v>
      </c>
      <c r="T10" s="52">
        <v>0</v>
      </c>
      <c r="U10" s="52">
        <v>0</v>
      </c>
      <c r="V10" s="52">
        <v>0</v>
      </c>
      <c r="W10" s="52">
        <v>0</v>
      </c>
      <c r="X10" s="52">
        <v>0</v>
      </c>
      <c r="Y10" s="52">
        <v>0</v>
      </c>
      <c r="Z10" s="52">
        <v>0</v>
      </c>
      <c r="AA10" s="52">
        <v>0</v>
      </c>
      <c r="AB10" s="52">
        <v>0</v>
      </c>
      <c r="AC10" s="52">
        <v>5889404.5921619069</v>
      </c>
      <c r="AG10" s="26"/>
      <c r="AP10" s="27"/>
    </row>
    <row r="11" spans="1:43" ht="15" x14ac:dyDescent="0.25">
      <c r="A11" s="49" t="s">
        <v>52</v>
      </c>
      <c r="B11" s="98">
        <v>4258985.2042577602</v>
      </c>
      <c r="C11" s="98">
        <v>0</v>
      </c>
      <c r="D11" s="98">
        <v>0</v>
      </c>
      <c r="E11" s="98">
        <v>0</v>
      </c>
      <c r="F11" s="98">
        <v>17033.215502550636</v>
      </c>
      <c r="G11" s="98">
        <v>0</v>
      </c>
      <c r="H11" s="98">
        <v>4575121.6839851001</v>
      </c>
      <c r="I11" s="98">
        <v>6813.286201020258</v>
      </c>
      <c r="J11" s="98">
        <v>51099.646507651931</v>
      </c>
      <c r="K11" s="98">
        <v>0</v>
      </c>
      <c r="L11" s="98">
        <v>0</v>
      </c>
      <c r="M11" s="98">
        <v>0</v>
      </c>
      <c r="N11" s="98">
        <v>0</v>
      </c>
      <c r="O11" s="98">
        <v>0</v>
      </c>
      <c r="P11" s="98">
        <v>0</v>
      </c>
      <c r="Q11" s="98">
        <v>0</v>
      </c>
      <c r="R11" s="98">
        <v>0</v>
      </c>
      <c r="S11" s="98">
        <v>0</v>
      </c>
      <c r="T11" s="98">
        <v>0</v>
      </c>
      <c r="U11" s="98">
        <v>0</v>
      </c>
      <c r="V11" s="98">
        <v>0</v>
      </c>
      <c r="W11" s="98">
        <v>0</v>
      </c>
      <c r="X11" s="98">
        <v>0</v>
      </c>
      <c r="Y11" s="98">
        <v>0</v>
      </c>
      <c r="Z11" s="98">
        <v>0</v>
      </c>
      <c r="AA11" s="98">
        <v>0</v>
      </c>
      <c r="AB11" s="98">
        <v>0</v>
      </c>
      <c r="AC11" s="98">
        <v>8909053.0364540853</v>
      </c>
      <c r="AG11" s="26"/>
      <c r="AP11" s="27"/>
    </row>
    <row r="12" spans="1:43" ht="15" x14ac:dyDescent="0.25">
      <c r="A12" s="48" t="s">
        <v>53</v>
      </c>
      <c r="B12" s="52">
        <v>225996.70328784178</v>
      </c>
      <c r="C12" s="52">
        <v>183958.72742754692</v>
      </c>
      <c r="D12" s="52">
        <v>196427.04117541399</v>
      </c>
      <c r="E12" s="52">
        <v>207805.22913111775</v>
      </c>
      <c r="F12" s="52">
        <v>173738.79812601651</v>
      </c>
      <c r="G12" s="52">
        <v>0</v>
      </c>
      <c r="H12" s="52">
        <v>109012.57921632405</v>
      </c>
      <c r="I12" s="52">
        <v>136265.72402040515</v>
      </c>
      <c r="J12" s="52">
        <v>27253.144804081032</v>
      </c>
      <c r="K12" s="52">
        <v>37745.605553652218</v>
      </c>
      <c r="L12" s="52">
        <v>0</v>
      </c>
      <c r="M12" s="52">
        <v>0</v>
      </c>
      <c r="N12" s="52">
        <v>6813.2862010202552</v>
      </c>
      <c r="O12" s="52">
        <v>0</v>
      </c>
      <c r="P12" s="52">
        <v>0</v>
      </c>
      <c r="Q12" s="52">
        <v>0</v>
      </c>
      <c r="R12" s="52">
        <v>27253.144804081025</v>
      </c>
      <c r="S12" s="52">
        <v>6813.2862010202552</v>
      </c>
      <c r="T12" s="52">
        <v>0</v>
      </c>
      <c r="U12" s="52">
        <v>0</v>
      </c>
      <c r="V12" s="52">
        <v>0</v>
      </c>
      <c r="W12" s="52">
        <v>0</v>
      </c>
      <c r="X12" s="52">
        <v>0</v>
      </c>
      <c r="Y12" s="52">
        <v>0</v>
      </c>
      <c r="Z12" s="52">
        <v>0</v>
      </c>
      <c r="AA12" s="52">
        <v>0</v>
      </c>
      <c r="AB12" s="52">
        <v>0</v>
      </c>
      <c r="AC12" s="52">
        <v>1339083.2699485207</v>
      </c>
      <c r="AG12" s="26"/>
      <c r="AP12" s="27"/>
    </row>
    <row r="13" spans="1:43" ht="15" x14ac:dyDescent="0.25">
      <c r="A13" s="49" t="s">
        <v>54</v>
      </c>
      <c r="B13" s="98">
        <v>1747017.425757606</v>
      </c>
      <c r="C13" s="98">
        <v>766085.90044271771</v>
      </c>
      <c r="D13" s="98">
        <v>689504.56354324997</v>
      </c>
      <c r="E13" s="98">
        <v>1363929.0536282409</v>
      </c>
      <c r="F13" s="98">
        <v>855067.41822804208</v>
      </c>
      <c r="G13" s="98">
        <v>149892.29642244562</v>
      </c>
      <c r="H13" s="98">
        <v>837216.60838136869</v>
      </c>
      <c r="I13" s="98">
        <v>1143814.4874272808</v>
      </c>
      <c r="J13" s="98">
        <v>258904.87563876979</v>
      </c>
      <c r="K13" s="98">
        <v>32976.30521293803</v>
      </c>
      <c r="L13" s="98">
        <v>68132.86201020256</v>
      </c>
      <c r="M13" s="98">
        <v>0</v>
      </c>
      <c r="N13" s="98">
        <v>56822.806916508933</v>
      </c>
      <c r="O13" s="98">
        <v>0</v>
      </c>
      <c r="P13" s="98">
        <v>0</v>
      </c>
      <c r="Q13" s="98">
        <v>0</v>
      </c>
      <c r="R13" s="98">
        <v>13626.572402040512</v>
      </c>
      <c r="S13" s="98">
        <v>36791.745485509382</v>
      </c>
      <c r="T13" s="98">
        <v>0</v>
      </c>
      <c r="U13" s="98">
        <v>0</v>
      </c>
      <c r="V13" s="98">
        <v>0</v>
      </c>
      <c r="W13" s="98">
        <v>0</v>
      </c>
      <c r="X13" s="98">
        <v>0</v>
      </c>
      <c r="Y13" s="98">
        <v>0</v>
      </c>
      <c r="Z13" s="98">
        <v>0</v>
      </c>
      <c r="AA13" s="98">
        <v>0</v>
      </c>
      <c r="AB13" s="98">
        <v>0</v>
      </c>
      <c r="AC13" s="98">
        <v>8019782.9214969222</v>
      </c>
      <c r="AG13" s="26"/>
      <c r="AP13" s="27"/>
    </row>
    <row r="14" spans="1:43" ht="15" x14ac:dyDescent="0.25">
      <c r="A14" s="48" t="s">
        <v>55</v>
      </c>
      <c r="B14" s="52">
        <v>0</v>
      </c>
      <c r="C14" s="52">
        <v>0</v>
      </c>
      <c r="D14" s="52">
        <v>0</v>
      </c>
      <c r="E14" s="52">
        <v>0</v>
      </c>
      <c r="F14" s="52">
        <v>0</v>
      </c>
      <c r="G14" s="52">
        <v>0</v>
      </c>
      <c r="H14" s="52">
        <v>1630078.7235940956</v>
      </c>
      <c r="I14" s="52">
        <v>0</v>
      </c>
      <c r="J14" s="52">
        <v>0</v>
      </c>
      <c r="K14" s="52">
        <v>0</v>
      </c>
      <c r="L14" s="52">
        <v>0</v>
      </c>
      <c r="M14" s="52">
        <v>17033.215502550636</v>
      </c>
      <c r="N14" s="52">
        <v>0</v>
      </c>
      <c r="O14" s="52">
        <v>0</v>
      </c>
      <c r="P14" s="52">
        <v>0</v>
      </c>
      <c r="Q14" s="52">
        <v>0</v>
      </c>
      <c r="R14" s="52">
        <v>0</v>
      </c>
      <c r="S14" s="52">
        <v>0</v>
      </c>
      <c r="T14" s="52">
        <v>0</v>
      </c>
      <c r="U14" s="52">
        <v>0</v>
      </c>
      <c r="V14" s="52">
        <v>0</v>
      </c>
      <c r="W14" s="52">
        <v>0</v>
      </c>
      <c r="X14" s="52">
        <v>0</v>
      </c>
      <c r="Y14" s="52">
        <v>0</v>
      </c>
      <c r="Z14" s="52">
        <v>0</v>
      </c>
      <c r="AA14" s="52">
        <v>0</v>
      </c>
      <c r="AB14" s="52">
        <v>0</v>
      </c>
      <c r="AC14" s="52">
        <v>1647111.9390966462</v>
      </c>
      <c r="AG14" s="26"/>
      <c r="AP14" s="27"/>
    </row>
    <row r="15" spans="1:43" ht="15" x14ac:dyDescent="0.25">
      <c r="A15" s="49" t="s">
        <v>56</v>
      </c>
      <c r="B15" s="98">
        <v>0</v>
      </c>
      <c r="C15" s="98">
        <v>81759.434412243092</v>
      </c>
      <c r="D15" s="98">
        <v>1075000.2967969761</v>
      </c>
      <c r="E15" s="98">
        <v>268443.47632019798</v>
      </c>
      <c r="F15" s="98">
        <v>54506.289608162042</v>
      </c>
      <c r="G15" s="98">
        <v>0</v>
      </c>
      <c r="H15" s="98">
        <v>11310.05509369362</v>
      </c>
      <c r="I15" s="98">
        <v>579129.3270867219</v>
      </c>
      <c r="J15" s="98">
        <v>39517.059965917491</v>
      </c>
      <c r="K15" s="98">
        <v>0</v>
      </c>
      <c r="L15" s="98">
        <v>0</v>
      </c>
      <c r="M15" s="98">
        <v>54506.289608162042</v>
      </c>
      <c r="N15" s="98">
        <v>0</v>
      </c>
      <c r="O15" s="98">
        <v>0</v>
      </c>
      <c r="P15" s="98">
        <v>133240.62494715213</v>
      </c>
      <c r="Q15" s="98">
        <v>0</v>
      </c>
      <c r="R15" s="98">
        <v>0</v>
      </c>
      <c r="S15" s="98">
        <v>0</v>
      </c>
      <c r="T15" s="98">
        <v>0</v>
      </c>
      <c r="U15" s="98">
        <v>6813.2862010202543</v>
      </c>
      <c r="V15" s="98">
        <v>0</v>
      </c>
      <c r="W15" s="98">
        <v>0</v>
      </c>
      <c r="X15" s="98">
        <v>0</v>
      </c>
      <c r="Y15" s="98">
        <v>0</v>
      </c>
      <c r="Z15" s="98">
        <v>0</v>
      </c>
      <c r="AA15" s="98">
        <v>0</v>
      </c>
      <c r="AB15" s="98">
        <v>0</v>
      </c>
      <c r="AC15" s="98">
        <v>2304226.1400402463</v>
      </c>
      <c r="AG15" s="26"/>
      <c r="AP15" s="27"/>
    </row>
    <row r="16" spans="1:43" ht="15" x14ac:dyDescent="0.25">
      <c r="A16" s="48" t="s">
        <v>57</v>
      </c>
      <c r="B16" s="52">
        <v>946092.9218736724</v>
      </c>
      <c r="C16" s="52">
        <v>449676.88926733698</v>
      </c>
      <c r="D16" s="52">
        <v>545062.89608162048</v>
      </c>
      <c r="E16" s="52">
        <v>1186193.1275976263</v>
      </c>
      <c r="F16" s="52">
        <v>791295.05938649247</v>
      </c>
      <c r="G16" s="52">
        <v>81759.434412243048</v>
      </c>
      <c r="H16" s="52">
        <v>797699.54841545119</v>
      </c>
      <c r="I16" s="52">
        <v>54506.289608162064</v>
      </c>
      <c r="J16" s="52">
        <v>0</v>
      </c>
      <c r="K16" s="52">
        <v>0</v>
      </c>
      <c r="L16" s="52">
        <v>0</v>
      </c>
      <c r="M16" s="52">
        <v>0</v>
      </c>
      <c r="N16" s="52">
        <v>0</v>
      </c>
      <c r="O16" s="52">
        <v>0</v>
      </c>
      <c r="P16" s="52">
        <v>0</v>
      </c>
      <c r="Q16" s="52">
        <v>0</v>
      </c>
      <c r="R16" s="52">
        <v>0</v>
      </c>
      <c r="S16" s="52">
        <v>0</v>
      </c>
      <c r="T16" s="52">
        <v>0</v>
      </c>
      <c r="U16" s="52">
        <v>0</v>
      </c>
      <c r="V16" s="52">
        <v>0</v>
      </c>
      <c r="W16" s="52">
        <v>0</v>
      </c>
      <c r="X16" s="52">
        <v>0</v>
      </c>
      <c r="Y16" s="52">
        <v>0</v>
      </c>
      <c r="Z16" s="52">
        <v>0</v>
      </c>
      <c r="AA16" s="52">
        <v>0</v>
      </c>
      <c r="AB16" s="52">
        <v>0</v>
      </c>
      <c r="AC16" s="52">
        <v>4852286.1666426044</v>
      </c>
      <c r="AG16" s="26"/>
      <c r="AP16" s="27"/>
    </row>
    <row r="17" spans="1:42" ht="15" x14ac:dyDescent="0.25">
      <c r="A17" s="49" t="s">
        <v>58</v>
      </c>
      <c r="B17" s="98">
        <v>1784399.6560472038</v>
      </c>
      <c r="C17" s="98">
        <v>778077.2841565134</v>
      </c>
      <c r="D17" s="98">
        <v>1429427.4449740497</v>
      </c>
      <c r="E17" s="98">
        <v>1000190.4143097734</v>
      </c>
      <c r="F17" s="98">
        <v>980431.88432681456</v>
      </c>
      <c r="G17" s="98">
        <v>809418.40068120614</v>
      </c>
      <c r="H17" s="98">
        <v>1943421.7559790171</v>
      </c>
      <c r="I17" s="98">
        <v>190772.01362856722</v>
      </c>
      <c r="J17" s="98">
        <v>54506.289608162064</v>
      </c>
      <c r="K17" s="98">
        <v>6813.2862010202552</v>
      </c>
      <c r="L17" s="98">
        <v>0</v>
      </c>
      <c r="M17" s="98">
        <v>0</v>
      </c>
      <c r="N17" s="98">
        <v>0</v>
      </c>
      <c r="O17" s="98">
        <v>0</v>
      </c>
      <c r="P17" s="98">
        <v>0</v>
      </c>
      <c r="Q17" s="98">
        <v>0</v>
      </c>
      <c r="R17" s="98">
        <v>0</v>
      </c>
      <c r="S17" s="98">
        <v>0</v>
      </c>
      <c r="T17" s="98">
        <v>0</v>
      </c>
      <c r="U17" s="98">
        <v>0</v>
      </c>
      <c r="V17" s="98">
        <v>0</v>
      </c>
      <c r="W17" s="98">
        <v>0</v>
      </c>
      <c r="X17" s="98">
        <v>0</v>
      </c>
      <c r="Y17" s="98">
        <v>0</v>
      </c>
      <c r="Z17" s="98">
        <v>0</v>
      </c>
      <c r="AA17" s="98">
        <v>0</v>
      </c>
      <c r="AB17" s="98">
        <v>13626.572402040514</v>
      </c>
      <c r="AC17" s="98">
        <v>8991085.0023143683</v>
      </c>
      <c r="AG17" s="26"/>
      <c r="AP17" s="27"/>
    </row>
    <row r="18" spans="1:42" ht="15" x14ac:dyDescent="0.25">
      <c r="A18" s="48" t="s">
        <v>59</v>
      </c>
      <c r="B18" s="52">
        <v>514266.84245300869</v>
      </c>
      <c r="C18" s="52">
        <v>246277.58521287885</v>
      </c>
      <c r="D18" s="52">
        <v>144965.76640016946</v>
      </c>
      <c r="E18" s="52">
        <v>386994.65621795045</v>
      </c>
      <c r="F18" s="52">
        <v>243393.29405444695</v>
      </c>
      <c r="G18" s="52">
        <v>100155.30715499775</v>
      </c>
      <c r="H18" s="52">
        <v>333578.49240195157</v>
      </c>
      <c r="I18" s="52">
        <v>125228.20037475236</v>
      </c>
      <c r="J18" s="52">
        <v>6813.286201020258</v>
      </c>
      <c r="K18" s="52">
        <v>0</v>
      </c>
      <c r="L18" s="52">
        <v>0</v>
      </c>
      <c r="M18" s="52">
        <v>0</v>
      </c>
      <c r="N18" s="52">
        <v>6813.2862010202552</v>
      </c>
      <c r="O18" s="52">
        <v>0</v>
      </c>
      <c r="P18" s="52">
        <v>0</v>
      </c>
      <c r="Q18" s="52">
        <v>0</v>
      </c>
      <c r="R18" s="52">
        <v>0</v>
      </c>
      <c r="S18" s="52">
        <v>0</v>
      </c>
      <c r="T18" s="52">
        <v>0</v>
      </c>
      <c r="U18" s="52">
        <v>0</v>
      </c>
      <c r="V18" s="52">
        <v>4087.9717206121536</v>
      </c>
      <c r="W18" s="52">
        <v>0</v>
      </c>
      <c r="X18" s="52">
        <v>0</v>
      </c>
      <c r="Y18" s="52">
        <v>0</v>
      </c>
      <c r="Z18" s="52">
        <v>0</v>
      </c>
      <c r="AA18" s="52">
        <v>0</v>
      </c>
      <c r="AB18" s="52">
        <v>0</v>
      </c>
      <c r="AC18" s="52">
        <v>2112574.6883928087</v>
      </c>
      <c r="AG18" s="26"/>
      <c r="AP18" s="27"/>
    </row>
    <row r="19" spans="1:42" ht="15" x14ac:dyDescent="0.25">
      <c r="A19" s="49" t="s">
        <v>60</v>
      </c>
      <c r="B19" s="98">
        <v>1962158.2930318227</v>
      </c>
      <c r="C19" s="98">
        <v>1355298.8911069494</v>
      </c>
      <c r="D19" s="98">
        <v>911753.95942053059</v>
      </c>
      <c r="E19" s="98">
        <v>875371.01110708225</v>
      </c>
      <c r="F19" s="98">
        <v>736311.8397442589</v>
      </c>
      <c r="G19" s="98">
        <v>0</v>
      </c>
      <c r="H19" s="98">
        <v>700831.65185244579</v>
      </c>
      <c r="I19" s="98">
        <v>349644.2212639575</v>
      </c>
      <c r="J19" s="98">
        <v>127272.1862350584</v>
      </c>
      <c r="K19" s="98">
        <v>47693.00340714179</v>
      </c>
      <c r="L19" s="98">
        <v>38154.402725713429</v>
      </c>
      <c r="M19" s="98">
        <v>10219.929301530383</v>
      </c>
      <c r="N19" s="98">
        <v>27253.144804081021</v>
      </c>
      <c r="O19" s="98">
        <v>0</v>
      </c>
      <c r="P19" s="98">
        <v>6813.2862010202543</v>
      </c>
      <c r="Q19" s="98">
        <v>47693.00340714179</v>
      </c>
      <c r="R19" s="98">
        <v>20439.858603060766</v>
      </c>
      <c r="S19" s="98">
        <v>20439.858603060766</v>
      </c>
      <c r="T19" s="98">
        <v>0</v>
      </c>
      <c r="U19" s="98">
        <v>0</v>
      </c>
      <c r="V19" s="98">
        <v>6813.2862010202552</v>
      </c>
      <c r="W19" s="98">
        <v>0</v>
      </c>
      <c r="X19" s="98">
        <v>20439.858603060766</v>
      </c>
      <c r="Y19" s="98">
        <v>20439.858603060766</v>
      </c>
      <c r="Z19" s="98">
        <v>0</v>
      </c>
      <c r="AA19" s="98">
        <v>0</v>
      </c>
      <c r="AB19" s="98">
        <v>54506.289608162057</v>
      </c>
      <c r="AC19" s="98">
        <v>7339547.833830162</v>
      </c>
      <c r="AG19" s="26"/>
      <c r="AP19" s="27"/>
    </row>
    <row r="20" spans="1:42" ht="15" x14ac:dyDescent="0.25">
      <c r="A20" s="48" t="s">
        <v>61</v>
      </c>
      <c r="B20" s="52">
        <v>8197149.7945249779</v>
      </c>
      <c r="C20" s="52">
        <v>936826.85264028527</v>
      </c>
      <c r="D20" s="52">
        <v>2596032.3747437429</v>
      </c>
      <c r="E20" s="52">
        <v>510826.13292149355</v>
      </c>
      <c r="F20" s="52">
        <v>4146736.3140959525</v>
      </c>
      <c r="G20" s="52">
        <v>110715.90076657914</v>
      </c>
      <c r="H20" s="52">
        <v>674855.99821105611</v>
      </c>
      <c r="I20" s="52">
        <v>739582.21712074894</v>
      </c>
      <c r="J20" s="52">
        <v>95386.00681428361</v>
      </c>
      <c r="K20" s="52">
        <v>17033.215502550636</v>
      </c>
      <c r="L20" s="52">
        <v>0</v>
      </c>
      <c r="M20" s="52">
        <v>0</v>
      </c>
      <c r="N20" s="52">
        <v>71028.508645636161</v>
      </c>
      <c r="O20" s="52">
        <v>0</v>
      </c>
      <c r="P20" s="52">
        <v>85166.077512753182</v>
      </c>
      <c r="Q20" s="52">
        <v>0</v>
      </c>
      <c r="R20" s="52">
        <v>0</v>
      </c>
      <c r="S20" s="52">
        <v>34066.43100510128</v>
      </c>
      <c r="T20" s="52">
        <v>0</v>
      </c>
      <c r="U20" s="52">
        <v>0</v>
      </c>
      <c r="V20" s="52">
        <v>0</v>
      </c>
      <c r="W20" s="52">
        <v>0</v>
      </c>
      <c r="X20" s="52">
        <v>0</v>
      </c>
      <c r="Y20" s="52">
        <v>0</v>
      </c>
      <c r="Z20" s="52">
        <v>0</v>
      </c>
      <c r="AA20" s="52">
        <v>0</v>
      </c>
      <c r="AB20" s="52">
        <v>0</v>
      </c>
      <c r="AC20" s="52">
        <v>18215405.824505158</v>
      </c>
      <c r="AG20" s="26"/>
      <c r="AP20" s="27"/>
    </row>
    <row r="21" spans="1:42" ht="15" x14ac:dyDescent="0.25">
      <c r="A21" s="49" t="s">
        <v>62</v>
      </c>
      <c r="B21" s="98">
        <v>261562.0572571675</v>
      </c>
      <c r="C21" s="98">
        <v>86528.734752957258</v>
      </c>
      <c r="D21" s="98">
        <v>136265.72402040512</v>
      </c>
      <c r="E21" s="98">
        <v>258904.87563876965</v>
      </c>
      <c r="F21" s="98">
        <v>122639.15161836459</v>
      </c>
      <c r="G21" s="98">
        <v>0</v>
      </c>
      <c r="H21" s="98">
        <v>272531.44804081012</v>
      </c>
      <c r="I21" s="98">
        <v>19077.201362856722</v>
      </c>
      <c r="J21" s="98">
        <v>0</v>
      </c>
      <c r="K21" s="98">
        <v>0</v>
      </c>
      <c r="L21" s="98">
        <v>0</v>
      </c>
      <c r="M21" s="98">
        <v>0</v>
      </c>
      <c r="N21" s="98">
        <v>0</v>
      </c>
      <c r="O21" s="98">
        <v>0</v>
      </c>
      <c r="P21" s="98">
        <v>0</v>
      </c>
      <c r="Q21" s="98">
        <v>0</v>
      </c>
      <c r="R21" s="98">
        <v>0</v>
      </c>
      <c r="S21" s="98">
        <v>6813.2862010202552</v>
      </c>
      <c r="T21" s="98">
        <v>0</v>
      </c>
      <c r="U21" s="98">
        <v>0</v>
      </c>
      <c r="V21" s="98">
        <v>0</v>
      </c>
      <c r="W21" s="98">
        <v>0</v>
      </c>
      <c r="X21" s="98">
        <v>0</v>
      </c>
      <c r="Y21" s="98">
        <v>0</v>
      </c>
      <c r="Z21" s="98">
        <v>0</v>
      </c>
      <c r="AA21" s="98">
        <v>0</v>
      </c>
      <c r="AB21" s="98">
        <v>0</v>
      </c>
      <c r="AC21" s="98">
        <v>1164322.478892351</v>
      </c>
      <c r="AG21" s="26"/>
      <c r="AP21" s="27"/>
    </row>
    <row r="22" spans="1:42" ht="15" x14ac:dyDescent="0.25">
      <c r="A22" s="48" t="s">
        <v>63</v>
      </c>
      <c r="B22" s="52">
        <v>635475.20396915893</v>
      </c>
      <c r="C22" s="52">
        <v>90480.440749549001</v>
      </c>
      <c r="D22" s="52">
        <v>95386.006814283581</v>
      </c>
      <c r="E22" s="52">
        <v>620009.04429284309</v>
      </c>
      <c r="F22" s="52">
        <v>269124.80494030006</v>
      </c>
      <c r="G22" s="52">
        <v>0</v>
      </c>
      <c r="H22" s="52">
        <v>252091.58943774935</v>
      </c>
      <c r="I22" s="52">
        <v>96067.335434385634</v>
      </c>
      <c r="J22" s="52">
        <v>20439.858603060773</v>
      </c>
      <c r="K22" s="52">
        <v>0</v>
      </c>
      <c r="L22" s="52">
        <v>0</v>
      </c>
      <c r="M22" s="52">
        <v>0</v>
      </c>
      <c r="N22" s="52">
        <v>0</v>
      </c>
      <c r="O22" s="52">
        <v>0</v>
      </c>
      <c r="P22" s="52">
        <v>0</v>
      </c>
      <c r="Q22" s="52">
        <v>0</v>
      </c>
      <c r="R22" s="52">
        <v>0</v>
      </c>
      <c r="S22" s="52">
        <v>0</v>
      </c>
      <c r="T22" s="52">
        <v>0</v>
      </c>
      <c r="U22" s="52">
        <v>0</v>
      </c>
      <c r="V22" s="52">
        <v>0</v>
      </c>
      <c r="W22" s="52">
        <v>0</v>
      </c>
      <c r="X22" s="52">
        <v>0</v>
      </c>
      <c r="Y22" s="52">
        <v>0</v>
      </c>
      <c r="Z22" s="52">
        <v>0</v>
      </c>
      <c r="AA22" s="52">
        <v>0</v>
      </c>
      <c r="AB22" s="52">
        <v>0</v>
      </c>
      <c r="AC22" s="52">
        <v>2079074.2842413303</v>
      </c>
      <c r="AG22" s="26"/>
      <c r="AP22" s="27"/>
    </row>
    <row r="23" spans="1:42" ht="15" x14ac:dyDescent="0.25">
      <c r="A23" s="49" t="s">
        <v>64</v>
      </c>
      <c r="B23" s="98">
        <v>638064.2527255466</v>
      </c>
      <c r="C23" s="98">
        <v>59411.855672896629</v>
      </c>
      <c r="D23" s="98">
        <v>241871.66013621911</v>
      </c>
      <c r="E23" s="98">
        <v>590371.24931840505</v>
      </c>
      <c r="F23" s="98">
        <v>354290.88245305326</v>
      </c>
      <c r="G23" s="98">
        <v>20439.858603060762</v>
      </c>
      <c r="H23" s="98">
        <v>649987.50357733213</v>
      </c>
      <c r="I23" s="98">
        <v>13626.572402040516</v>
      </c>
      <c r="J23" s="98">
        <v>20439.858603060773</v>
      </c>
      <c r="K23" s="98">
        <v>4769.3003407141787</v>
      </c>
      <c r="L23" s="98">
        <v>0</v>
      </c>
      <c r="M23" s="98">
        <v>0</v>
      </c>
      <c r="N23" s="98">
        <v>0</v>
      </c>
      <c r="O23" s="98">
        <v>0</v>
      </c>
      <c r="P23" s="98">
        <v>28479.536320264659</v>
      </c>
      <c r="Q23" s="98">
        <v>0</v>
      </c>
      <c r="R23" s="98">
        <v>6813.2862010202562</v>
      </c>
      <c r="S23" s="98">
        <v>0</v>
      </c>
      <c r="T23" s="98">
        <v>0</v>
      </c>
      <c r="U23" s="98">
        <v>6813.2862010202543</v>
      </c>
      <c r="V23" s="98">
        <v>0</v>
      </c>
      <c r="W23" s="98">
        <v>0</v>
      </c>
      <c r="X23" s="98">
        <v>0</v>
      </c>
      <c r="Y23" s="98">
        <v>0</v>
      </c>
      <c r="Z23" s="98">
        <v>0</v>
      </c>
      <c r="AA23" s="98">
        <v>0</v>
      </c>
      <c r="AB23" s="98">
        <v>0</v>
      </c>
      <c r="AC23" s="98">
        <v>2635379.1025546337</v>
      </c>
      <c r="AG23" s="26"/>
      <c r="AP23" s="27"/>
    </row>
    <row r="24" spans="1:42" ht="15" x14ac:dyDescent="0.25">
      <c r="A24" s="48" t="s">
        <v>65</v>
      </c>
      <c r="B24" s="52">
        <v>356130.46972732863</v>
      </c>
      <c r="C24" s="52">
        <v>200991.94293009758</v>
      </c>
      <c r="D24" s="52">
        <v>160112.22572397601</v>
      </c>
      <c r="E24" s="52">
        <v>198266.62844968939</v>
      </c>
      <c r="F24" s="52">
        <v>111874.15942075261</v>
      </c>
      <c r="G24" s="52">
        <v>22211.313015326032</v>
      </c>
      <c r="H24" s="52">
        <v>218025.15843264811</v>
      </c>
      <c r="I24" s="52">
        <v>27253.144804081032</v>
      </c>
      <c r="J24" s="52">
        <v>0</v>
      </c>
      <c r="K24" s="52">
        <v>4564.9017546835712</v>
      </c>
      <c r="L24" s="52">
        <v>0</v>
      </c>
      <c r="M24" s="52">
        <v>0</v>
      </c>
      <c r="N24" s="52">
        <v>0</v>
      </c>
      <c r="O24" s="52">
        <v>0</v>
      </c>
      <c r="P24" s="52">
        <v>0</v>
      </c>
      <c r="Q24" s="52">
        <v>0</v>
      </c>
      <c r="R24" s="52">
        <v>0</v>
      </c>
      <c r="S24" s="52">
        <v>0</v>
      </c>
      <c r="T24" s="52">
        <v>0</v>
      </c>
      <c r="U24" s="52">
        <v>0</v>
      </c>
      <c r="V24" s="52">
        <v>0</v>
      </c>
      <c r="W24" s="52">
        <v>0</v>
      </c>
      <c r="X24" s="52">
        <v>0</v>
      </c>
      <c r="Y24" s="52">
        <v>0</v>
      </c>
      <c r="Z24" s="52">
        <v>0</v>
      </c>
      <c r="AA24" s="52">
        <v>0</v>
      </c>
      <c r="AB24" s="52">
        <v>0</v>
      </c>
      <c r="AC24" s="52">
        <v>1299429.9442585828</v>
      </c>
      <c r="AG24" s="26"/>
      <c r="AP24" s="27"/>
    </row>
    <row r="25" spans="1:42" ht="15" x14ac:dyDescent="0.25">
      <c r="A25" s="49" t="s">
        <v>66</v>
      </c>
      <c r="B25" s="98">
        <v>1024718.244633446</v>
      </c>
      <c r="C25" s="98">
        <v>315299.12685323454</v>
      </c>
      <c r="D25" s="98">
        <v>27253.144804081028</v>
      </c>
      <c r="E25" s="98">
        <v>718937.95993165718</v>
      </c>
      <c r="F25" s="98">
        <v>422968.8073593374</v>
      </c>
      <c r="G25" s="98">
        <v>0</v>
      </c>
      <c r="H25" s="98">
        <v>609107.78637121071</v>
      </c>
      <c r="I25" s="98">
        <v>127749.11626912982</v>
      </c>
      <c r="J25" s="98">
        <v>0</v>
      </c>
      <c r="K25" s="98">
        <v>0</v>
      </c>
      <c r="L25" s="98">
        <v>0</v>
      </c>
      <c r="M25" s="98">
        <v>0</v>
      </c>
      <c r="N25" s="98">
        <v>0</v>
      </c>
      <c r="O25" s="98">
        <v>0</v>
      </c>
      <c r="P25" s="98">
        <v>0</v>
      </c>
      <c r="Q25" s="98">
        <v>0</v>
      </c>
      <c r="R25" s="98">
        <v>0</v>
      </c>
      <c r="S25" s="98">
        <v>6813.2862010202552</v>
      </c>
      <c r="T25" s="98">
        <v>0</v>
      </c>
      <c r="U25" s="98">
        <v>0</v>
      </c>
      <c r="V25" s="98">
        <v>0</v>
      </c>
      <c r="W25" s="98">
        <v>0</v>
      </c>
      <c r="X25" s="98">
        <v>0</v>
      </c>
      <c r="Y25" s="98">
        <v>0</v>
      </c>
      <c r="Z25" s="98">
        <v>0</v>
      </c>
      <c r="AA25" s="98">
        <v>0</v>
      </c>
      <c r="AB25" s="98">
        <v>0</v>
      </c>
      <c r="AC25" s="98">
        <v>3252847.4724231167</v>
      </c>
      <c r="AG25" s="26"/>
      <c r="AP25" s="27"/>
    </row>
    <row r="26" spans="1:42" ht="26.25" x14ac:dyDescent="0.25">
      <c r="A26" s="48" t="s">
        <v>67</v>
      </c>
      <c r="B26" s="52">
        <v>474545.38390106062</v>
      </c>
      <c r="C26" s="52">
        <v>616352.58069829585</v>
      </c>
      <c r="D26" s="52">
        <v>789591.73783623741</v>
      </c>
      <c r="E26" s="52">
        <v>438230.56844962272</v>
      </c>
      <c r="F26" s="52">
        <v>232878.12235087232</v>
      </c>
      <c r="G26" s="52">
        <v>113100.55093693624</v>
      </c>
      <c r="H26" s="52">
        <v>233968.24814303545</v>
      </c>
      <c r="I26" s="52">
        <v>404709.2003406033</v>
      </c>
      <c r="J26" s="52">
        <v>79715.448551937006</v>
      </c>
      <c r="K26" s="52">
        <v>1362.657240204051</v>
      </c>
      <c r="L26" s="52">
        <v>6813.2862010202552</v>
      </c>
      <c r="M26" s="52">
        <v>0</v>
      </c>
      <c r="N26" s="52">
        <v>13626.57240204051</v>
      </c>
      <c r="O26" s="52">
        <v>0</v>
      </c>
      <c r="P26" s="52">
        <v>10901.257921632407</v>
      </c>
      <c r="Q26" s="52">
        <v>0</v>
      </c>
      <c r="R26" s="52">
        <v>6813.2862010202562</v>
      </c>
      <c r="S26" s="52">
        <v>6813.2862010202552</v>
      </c>
      <c r="T26" s="52">
        <v>0</v>
      </c>
      <c r="U26" s="52">
        <v>0</v>
      </c>
      <c r="V26" s="52">
        <v>21802.515843264817</v>
      </c>
      <c r="W26" s="52">
        <v>0</v>
      </c>
      <c r="X26" s="52">
        <v>0</v>
      </c>
      <c r="Y26" s="52">
        <v>0</v>
      </c>
      <c r="Z26" s="52">
        <v>0</v>
      </c>
      <c r="AA26" s="52">
        <v>0</v>
      </c>
      <c r="AB26" s="52">
        <v>0</v>
      </c>
      <c r="AC26" s="52">
        <v>3451224.7032188042</v>
      </c>
      <c r="AG26" s="26"/>
      <c r="AP26" s="27"/>
    </row>
    <row r="27" spans="1:42" ht="15" x14ac:dyDescent="0.25">
      <c r="A27" s="49" t="s">
        <v>68</v>
      </c>
      <c r="B27" s="98">
        <v>371051.56650756288</v>
      </c>
      <c r="C27" s="98">
        <v>292766.90805784048</v>
      </c>
      <c r="D27" s="98">
        <v>618987.05136269028</v>
      </c>
      <c r="E27" s="98">
        <v>221431.80153315829</v>
      </c>
      <c r="F27" s="98">
        <v>225519.77325377046</v>
      </c>
      <c r="G27" s="98">
        <v>8857.2720613263318</v>
      </c>
      <c r="H27" s="98">
        <v>231992.3951447396</v>
      </c>
      <c r="I27" s="98">
        <v>107990.58628617108</v>
      </c>
      <c r="J27" s="98">
        <v>32363.109454846224</v>
      </c>
      <c r="K27" s="98">
        <v>6813.2862010202552</v>
      </c>
      <c r="L27" s="98">
        <v>125364.4660987727</v>
      </c>
      <c r="M27" s="98">
        <v>0</v>
      </c>
      <c r="N27" s="98">
        <v>6813.2862010202552</v>
      </c>
      <c r="O27" s="98">
        <v>0</v>
      </c>
      <c r="P27" s="98">
        <v>44286.36030663165</v>
      </c>
      <c r="Q27" s="98">
        <v>13626.57240204051</v>
      </c>
      <c r="R27" s="98">
        <v>0</v>
      </c>
      <c r="S27" s="98">
        <v>0</v>
      </c>
      <c r="T27" s="98">
        <v>0</v>
      </c>
      <c r="U27" s="98">
        <v>0</v>
      </c>
      <c r="V27" s="98">
        <v>0</v>
      </c>
      <c r="W27" s="98">
        <v>0</v>
      </c>
      <c r="X27" s="98">
        <v>0</v>
      </c>
      <c r="Y27" s="98">
        <v>0</v>
      </c>
      <c r="Z27" s="98">
        <v>0</v>
      </c>
      <c r="AA27" s="98">
        <v>0</v>
      </c>
      <c r="AB27" s="98">
        <v>27253.144804081028</v>
      </c>
      <c r="AC27" s="98">
        <v>2335117.5796756721</v>
      </c>
      <c r="AG27" s="26"/>
      <c r="AP27" s="27"/>
    </row>
    <row r="28" spans="1:42" ht="15" x14ac:dyDescent="0.25">
      <c r="A28" s="48" t="s">
        <v>69</v>
      </c>
      <c r="B28" s="52">
        <v>199969.94999994439</v>
      </c>
      <c r="C28" s="52">
        <v>284590.96461661608</v>
      </c>
      <c r="D28" s="52">
        <v>154934.12821120062</v>
      </c>
      <c r="E28" s="52">
        <v>318521.12989769684</v>
      </c>
      <c r="F28" s="52">
        <v>161747.41441222085</v>
      </c>
      <c r="G28" s="52">
        <v>87210.063373059282</v>
      </c>
      <c r="H28" s="52">
        <v>535645.57189457014</v>
      </c>
      <c r="I28" s="52">
        <v>299784.5928448913</v>
      </c>
      <c r="J28" s="52">
        <v>6813.286201020258</v>
      </c>
      <c r="K28" s="52">
        <v>0</v>
      </c>
      <c r="L28" s="52">
        <v>6813.2862010202552</v>
      </c>
      <c r="M28" s="52">
        <v>0</v>
      </c>
      <c r="N28" s="52">
        <v>0</v>
      </c>
      <c r="O28" s="52">
        <v>6813.2862010202562</v>
      </c>
      <c r="P28" s="52">
        <v>20439.858603060762</v>
      </c>
      <c r="Q28" s="52">
        <v>0</v>
      </c>
      <c r="R28" s="52">
        <v>0</v>
      </c>
      <c r="S28" s="52">
        <v>0</v>
      </c>
      <c r="T28" s="52">
        <v>0</v>
      </c>
      <c r="U28" s="52">
        <v>0</v>
      </c>
      <c r="V28" s="52">
        <v>6813.2862010202552</v>
      </c>
      <c r="W28" s="52">
        <v>0</v>
      </c>
      <c r="X28" s="52">
        <v>0</v>
      </c>
      <c r="Y28" s="52">
        <v>0</v>
      </c>
      <c r="Z28" s="52">
        <v>0</v>
      </c>
      <c r="AA28" s="52">
        <v>0</v>
      </c>
      <c r="AB28" s="52">
        <v>0</v>
      </c>
      <c r="AC28" s="52">
        <v>2090096.8186573414</v>
      </c>
      <c r="AG28" s="26"/>
      <c r="AP28" s="27"/>
    </row>
    <row r="29" spans="1:42" ht="15" x14ac:dyDescent="0.25">
      <c r="A29" s="49" t="s">
        <v>70</v>
      </c>
      <c r="B29" s="98">
        <v>2303027.0016688663</v>
      </c>
      <c r="C29" s="98">
        <v>297059.27836448321</v>
      </c>
      <c r="D29" s="98">
        <v>1357206.6112432349</v>
      </c>
      <c r="E29" s="98">
        <v>550513.52504243655</v>
      </c>
      <c r="F29" s="98">
        <v>529937.40071535541</v>
      </c>
      <c r="G29" s="98">
        <v>633635.61669488368</v>
      </c>
      <c r="H29" s="98">
        <v>2737033.3326738556</v>
      </c>
      <c r="I29" s="98">
        <v>127817.24913114005</v>
      </c>
      <c r="J29" s="98">
        <v>27253.144804081032</v>
      </c>
      <c r="K29" s="98">
        <v>0</v>
      </c>
      <c r="L29" s="98">
        <v>40879.717206121531</v>
      </c>
      <c r="M29" s="98">
        <v>0</v>
      </c>
      <c r="N29" s="98">
        <v>0</v>
      </c>
      <c r="O29" s="98">
        <v>0</v>
      </c>
      <c r="P29" s="98">
        <v>0</v>
      </c>
      <c r="Q29" s="98">
        <v>0</v>
      </c>
      <c r="R29" s="98">
        <v>40879.717206121531</v>
      </c>
      <c r="S29" s="98">
        <v>0</v>
      </c>
      <c r="T29" s="98">
        <v>0</v>
      </c>
      <c r="U29" s="98">
        <v>0</v>
      </c>
      <c r="V29" s="98">
        <v>0</v>
      </c>
      <c r="W29" s="98">
        <v>0</v>
      </c>
      <c r="X29" s="98">
        <v>0</v>
      </c>
      <c r="Y29" s="98">
        <v>0</v>
      </c>
      <c r="Z29" s="98">
        <v>0</v>
      </c>
      <c r="AA29" s="98">
        <v>0</v>
      </c>
      <c r="AB29" s="98">
        <v>0</v>
      </c>
      <c r="AC29" s="98">
        <v>8645242.5947505813</v>
      </c>
      <c r="AG29" s="26"/>
      <c r="AP29" s="27"/>
    </row>
    <row r="30" spans="1:42" ht="15" x14ac:dyDescent="0.25">
      <c r="A30" s="48" t="s">
        <v>71</v>
      </c>
      <c r="B30" s="52">
        <v>729294.15495720773</v>
      </c>
      <c r="C30" s="52">
        <v>281034.42921968357</v>
      </c>
      <c r="D30" s="52">
        <v>534434.16960802884</v>
      </c>
      <c r="E30" s="52">
        <v>962581.07448014151</v>
      </c>
      <c r="F30" s="52">
        <v>218161.42415666857</v>
      </c>
      <c r="G30" s="52">
        <v>0</v>
      </c>
      <c r="H30" s="52">
        <v>283296.44023842213</v>
      </c>
      <c r="I30" s="52">
        <v>23846.501703570902</v>
      </c>
      <c r="J30" s="52">
        <v>27253.144804081032</v>
      </c>
      <c r="K30" s="52">
        <v>87891.391993161291</v>
      </c>
      <c r="L30" s="52">
        <v>0</v>
      </c>
      <c r="M30" s="52">
        <v>0</v>
      </c>
      <c r="N30" s="52">
        <v>61319.575809182286</v>
      </c>
      <c r="O30" s="52">
        <v>0</v>
      </c>
      <c r="P30" s="52">
        <v>16351.886882448614</v>
      </c>
      <c r="Q30" s="52">
        <v>27253.144804081021</v>
      </c>
      <c r="R30" s="52">
        <v>0</v>
      </c>
      <c r="S30" s="52">
        <v>0</v>
      </c>
      <c r="T30" s="52">
        <v>0</v>
      </c>
      <c r="U30" s="52">
        <v>8175.9434412243054</v>
      </c>
      <c r="V30" s="52">
        <v>0</v>
      </c>
      <c r="W30" s="52">
        <v>0</v>
      </c>
      <c r="X30" s="52">
        <v>0</v>
      </c>
      <c r="Y30" s="52">
        <v>0</v>
      </c>
      <c r="Z30" s="52">
        <v>0</v>
      </c>
      <c r="AA30" s="52">
        <v>0</v>
      </c>
      <c r="AB30" s="52">
        <v>0</v>
      </c>
      <c r="AC30" s="52">
        <v>3260893.2820979017</v>
      </c>
      <c r="AG30" s="26"/>
      <c r="AP30" s="27"/>
    </row>
    <row r="31" spans="1:42" ht="15" x14ac:dyDescent="0.25">
      <c r="A31" s="49" t="s">
        <v>72</v>
      </c>
      <c r="B31" s="98">
        <v>584579.95604753774</v>
      </c>
      <c r="C31" s="98">
        <v>0</v>
      </c>
      <c r="D31" s="98">
        <v>231651.73083468873</v>
      </c>
      <c r="E31" s="98">
        <v>110920.29935260974</v>
      </c>
      <c r="F31" s="98">
        <v>17714.544122652664</v>
      </c>
      <c r="G31" s="98">
        <v>0</v>
      </c>
      <c r="H31" s="98">
        <v>217888.89270862765</v>
      </c>
      <c r="I31" s="98">
        <v>159567.16282789444</v>
      </c>
      <c r="J31" s="98">
        <v>9538.6006814283592</v>
      </c>
      <c r="K31" s="98">
        <v>38426.934173754242</v>
      </c>
      <c r="L31" s="98">
        <v>13626.57240204051</v>
      </c>
      <c r="M31" s="98">
        <v>2725.3144804081021</v>
      </c>
      <c r="N31" s="98">
        <v>0</v>
      </c>
      <c r="O31" s="98">
        <v>0</v>
      </c>
      <c r="P31" s="98">
        <v>44967.688926733674</v>
      </c>
      <c r="Q31" s="98">
        <v>0</v>
      </c>
      <c r="R31" s="98">
        <v>0</v>
      </c>
      <c r="S31" s="98">
        <v>0</v>
      </c>
      <c r="T31" s="98">
        <v>0</v>
      </c>
      <c r="U31" s="98">
        <v>0</v>
      </c>
      <c r="V31" s="98">
        <v>0</v>
      </c>
      <c r="W31" s="98">
        <v>0</v>
      </c>
      <c r="X31" s="98">
        <v>0</v>
      </c>
      <c r="Y31" s="98">
        <v>0</v>
      </c>
      <c r="Z31" s="98">
        <v>0</v>
      </c>
      <c r="AA31" s="98">
        <v>0</v>
      </c>
      <c r="AB31" s="98">
        <v>0</v>
      </c>
      <c r="AC31" s="98">
        <v>1431607.6965583756</v>
      </c>
      <c r="AG31" s="26"/>
      <c r="AP31" s="27"/>
    </row>
    <row r="32" spans="1:42" ht="15" x14ac:dyDescent="0.25">
      <c r="A32" s="48" t="s">
        <v>73</v>
      </c>
      <c r="B32" s="52">
        <v>277637.32471985469</v>
      </c>
      <c r="C32" s="52">
        <v>54506.289608162057</v>
      </c>
      <c r="D32" s="52">
        <v>506908.49335590709</v>
      </c>
      <c r="E32" s="52">
        <v>20439.858603060762</v>
      </c>
      <c r="F32" s="52">
        <v>460578.14718896919</v>
      </c>
      <c r="G32" s="52">
        <v>0</v>
      </c>
      <c r="H32" s="52">
        <v>1414438.2153318047</v>
      </c>
      <c r="I32" s="52">
        <v>766085.90044271771</v>
      </c>
      <c r="J32" s="52">
        <v>44967.688926733696</v>
      </c>
      <c r="K32" s="52">
        <v>13626.57240204051</v>
      </c>
      <c r="L32" s="52">
        <v>5450.6289608162042</v>
      </c>
      <c r="M32" s="52">
        <v>0</v>
      </c>
      <c r="N32" s="52">
        <v>0</v>
      </c>
      <c r="O32" s="52">
        <v>0</v>
      </c>
      <c r="P32" s="52">
        <v>70858.17649061064</v>
      </c>
      <c r="Q32" s="52">
        <v>0</v>
      </c>
      <c r="R32" s="52">
        <v>6813.2862010202562</v>
      </c>
      <c r="S32" s="52">
        <v>0</v>
      </c>
      <c r="T32" s="52">
        <v>27253.144804081021</v>
      </c>
      <c r="U32" s="52">
        <v>0</v>
      </c>
      <c r="V32" s="52">
        <v>0</v>
      </c>
      <c r="W32" s="52">
        <v>0</v>
      </c>
      <c r="X32" s="52">
        <v>0</v>
      </c>
      <c r="Y32" s="52">
        <v>0</v>
      </c>
      <c r="Z32" s="52">
        <v>0</v>
      </c>
      <c r="AA32" s="52">
        <v>0</v>
      </c>
      <c r="AB32" s="52">
        <v>0</v>
      </c>
      <c r="AC32" s="52">
        <v>3669563.7270357776</v>
      </c>
      <c r="AG32" s="26"/>
      <c r="AP32" s="27"/>
    </row>
    <row r="33" spans="1:43" ht="15" x14ac:dyDescent="0.25">
      <c r="A33" s="49" t="s">
        <v>74</v>
      </c>
      <c r="B33" s="98">
        <v>662081.08658414299</v>
      </c>
      <c r="C33" s="98">
        <v>0</v>
      </c>
      <c r="D33" s="98">
        <v>0</v>
      </c>
      <c r="E33" s="98">
        <v>0</v>
      </c>
      <c r="F33" s="98">
        <v>0</v>
      </c>
      <c r="G33" s="98">
        <v>51099.646507651909</v>
      </c>
      <c r="H33" s="98">
        <v>948409.43918201933</v>
      </c>
      <c r="I33" s="98">
        <v>0</v>
      </c>
      <c r="J33" s="98">
        <v>0</v>
      </c>
      <c r="K33" s="98">
        <v>0</v>
      </c>
      <c r="L33" s="98">
        <v>0</v>
      </c>
      <c r="M33" s="98">
        <v>0</v>
      </c>
      <c r="N33" s="98">
        <v>0</v>
      </c>
      <c r="O33" s="98">
        <v>0</v>
      </c>
      <c r="P33" s="98">
        <v>0</v>
      </c>
      <c r="Q33" s="98">
        <v>0</v>
      </c>
      <c r="R33" s="98">
        <v>0</v>
      </c>
      <c r="S33" s="98">
        <v>0</v>
      </c>
      <c r="T33" s="98">
        <v>0</v>
      </c>
      <c r="U33" s="98">
        <v>0</v>
      </c>
      <c r="V33" s="98">
        <v>0</v>
      </c>
      <c r="W33" s="98">
        <v>0</v>
      </c>
      <c r="X33" s="98">
        <v>0</v>
      </c>
      <c r="Y33" s="98">
        <v>0</v>
      </c>
      <c r="Z33" s="98">
        <v>0</v>
      </c>
      <c r="AA33" s="98">
        <v>0</v>
      </c>
      <c r="AB33" s="98">
        <v>0</v>
      </c>
      <c r="AC33" s="98">
        <v>1661590.1722738142</v>
      </c>
      <c r="AG33" s="26"/>
      <c r="AP33" s="27"/>
    </row>
    <row r="34" spans="1:43" ht="15" x14ac:dyDescent="0.25">
      <c r="A34" s="48" t="s">
        <v>75</v>
      </c>
      <c r="B34" s="52">
        <v>491237.93509356014</v>
      </c>
      <c r="C34" s="52">
        <v>91979.363713773462</v>
      </c>
      <c r="D34" s="52">
        <v>54506.289608162057</v>
      </c>
      <c r="E34" s="52">
        <v>197585.29982958737</v>
      </c>
      <c r="F34" s="52">
        <v>82508.895894355286</v>
      </c>
      <c r="G34" s="52">
        <v>6813.2862010202552</v>
      </c>
      <c r="H34" s="52">
        <v>221431.80153315823</v>
      </c>
      <c r="I34" s="52">
        <v>0</v>
      </c>
      <c r="J34" s="52">
        <v>0</v>
      </c>
      <c r="K34" s="52">
        <v>0</v>
      </c>
      <c r="L34" s="52">
        <v>0</v>
      </c>
      <c r="M34" s="52">
        <v>6813.2862010202552</v>
      </c>
      <c r="N34" s="52">
        <v>0</v>
      </c>
      <c r="O34" s="52">
        <v>0</v>
      </c>
      <c r="P34" s="52">
        <v>0</v>
      </c>
      <c r="Q34" s="52">
        <v>0</v>
      </c>
      <c r="R34" s="52">
        <v>0</v>
      </c>
      <c r="S34" s="52">
        <v>0</v>
      </c>
      <c r="T34" s="52">
        <v>0</v>
      </c>
      <c r="U34" s="52">
        <v>0</v>
      </c>
      <c r="V34" s="52">
        <v>0</v>
      </c>
      <c r="W34" s="52">
        <v>0</v>
      </c>
      <c r="X34" s="52">
        <v>0</v>
      </c>
      <c r="Y34" s="52">
        <v>0</v>
      </c>
      <c r="Z34" s="52">
        <v>0</v>
      </c>
      <c r="AA34" s="52">
        <v>0</v>
      </c>
      <c r="AB34" s="52">
        <v>0</v>
      </c>
      <c r="AC34" s="52">
        <v>1152876.1580746369</v>
      </c>
      <c r="AG34" s="26"/>
      <c r="AP34" s="27"/>
    </row>
    <row r="35" spans="1:43" ht="15" x14ac:dyDescent="0.25">
      <c r="A35" s="49" t="s">
        <v>76</v>
      </c>
      <c r="B35" s="98">
        <v>1002915.728790181</v>
      </c>
      <c r="C35" s="98">
        <v>163518.86882448618</v>
      </c>
      <c r="D35" s="98">
        <v>449676.88926733693</v>
      </c>
      <c r="E35" s="98">
        <v>862562.03304916422</v>
      </c>
      <c r="F35" s="98">
        <v>821546.05011902249</v>
      </c>
      <c r="G35" s="98">
        <v>0</v>
      </c>
      <c r="H35" s="98">
        <v>735834.90971018723</v>
      </c>
      <c r="I35" s="98">
        <v>34066.431005101287</v>
      </c>
      <c r="J35" s="98">
        <v>0</v>
      </c>
      <c r="K35" s="98">
        <v>0</v>
      </c>
      <c r="L35" s="98">
        <v>0</v>
      </c>
      <c r="M35" s="98">
        <v>0</v>
      </c>
      <c r="N35" s="98">
        <v>0</v>
      </c>
      <c r="O35" s="98">
        <v>0</v>
      </c>
      <c r="P35" s="98">
        <v>0</v>
      </c>
      <c r="Q35" s="98">
        <v>0</v>
      </c>
      <c r="R35" s="98">
        <v>0</v>
      </c>
      <c r="S35" s="98">
        <v>0</v>
      </c>
      <c r="T35" s="98">
        <v>0</v>
      </c>
      <c r="U35" s="98">
        <v>0</v>
      </c>
      <c r="V35" s="98">
        <v>0</v>
      </c>
      <c r="W35" s="98">
        <v>0</v>
      </c>
      <c r="X35" s="98">
        <v>0</v>
      </c>
      <c r="Y35" s="98">
        <v>0</v>
      </c>
      <c r="Z35" s="98">
        <v>0</v>
      </c>
      <c r="AA35" s="98">
        <v>0</v>
      </c>
      <c r="AB35" s="98">
        <v>0</v>
      </c>
      <c r="AC35" s="98">
        <v>4070120.9107654789</v>
      </c>
      <c r="AG35" s="26"/>
      <c r="AP35" s="27"/>
    </row>
    <row r="36" spans="1:43" ht="15" x14ac:dyDescent="0.25">
      <c r="A36" s="48" t="s">
        <v>77</v>
      </c>
      <c r="B36" s="52">
        <v>272531.44804081012</v>
      </c>
      <c r="C36" s="52">
        <v>83190.224514457339</v>
      </c>
      <c r="D36" s="52">
        <v>129452.43781938487</v>
      </c>
      <c r="E36" s="52">
        <v>559779.59427582403</v>
      </c>
      <c r="F36" s="52">
        <v>353132.62379887979</v>
      </c>
      <c r="G36" s="52">
        <v>34066.431005101273</v>
      </c>
      <c r="H36" s="52">
        <v>268852.27349225921</v>
      </c>
      <c r="I36" s="52">
        <v>88572.720613263344</v>
      </c>
      <c r="J36" s="52">
        <v>0</v>
      </c>
      <c r="K36" s="52">
        <v>0</v>
      </c>
      <c r="L36" s="52">
        <v>0</v>
      </c>
      <c r="M36" s="52">
        <v>0</v>
      </c>
      <c r="N36" s="52">
        <v>0</v>
      </c>
      <c r="O36" s="52">
        <v>0</v>
      </c>
      <c r="P36" s="52">
        <v>0</v>
      </c>
      <c r="Q36" s="52">
        <v>0</v>
      </c>
      <c r="R36" s="52">
        <v>0</v>
      </c>
      <c r="S36" s="52">
        <v>0</v>
      </c>
      <c r="T36" s="52">
        <v>0</v>
      </c>
      <c r="U36" s="52">
        <v>0</v>
      </c>
      <c r="V36" s="52">
        <v>0</v>
      </c>
      <c r="W36" s="52">
        <v>0</v>
      </c>
      <c r="X36" s="52">
        <v>0</v>
      </c>
      <c r="Y36" s="52">
        <v>0</v>
      </c>
      <c r="Z36" s="52">
        <v>0</v>
      </c>
      <c r="AA36" s="52">
        <v>0</v>
      </c>
      <c r="AB36" s="52">
        <v>0</v>
      </c>
      <c r="AC36" s="52">
        <v>1789577.7535599798</v>
      </c>
      <c r="AG36" s="26"/>
      <c r="AP36" s="27"/>
    </row>
    <row r="37" spans="1:43" ht="15" x14ac:dyDescent="0.25">
      <c r="A37" s="49" t="s">
        <v>78</v>
      </c>
      <c r="B37" s="98">
        <v>2323058.0630998653</v>
      </c>
      <c r="C37" s="98">
        <v>551603.65083460009</v>
      </c>
      <c r="D37" s="98">
        <v>1041751.4601359973</v>
      </c>
      <c r="E37" s="98">
        <v>1191643.7565584425</v>
      </c>
      <c r="F37" s="98">
        <v>1098165.4698804447</v>
      </c>
      <c r="G37" s="98">
        <v>81759.434412243048</v>
      </c>
      <c r="H37" s="98">
        <v>1846945.6233725706</v>
      </c>
      <c r="I37" s="98">
        <v>365055.87465066538</v>
      </c>
      <c r="J37" s="98">
        <v>0</v>
      </c>
      <c r="K37" s="98">
        <v>0</v>
      </c>
      <c r="L37" s="98">
        <v>0</v>
      </c>
      <c r="M37" s="98">
        <v>0</v>
      </c>
      <c r="N37" s="98">
        <v>0</v>
      </c>
      <c r="O37" s="98">
        <v>0</v>
      </c>
      <c r="P37" s="98">
        <v>0</v>
      </c>
      <c r="Q37" s="98">
        <v>0</v>
      </c>
      <c r="R37" s="98">
        <v>5450.6289608162051</v>
      </c>
      <c r="S37" s="98">
        <v>13626.57240204051</v>
      </c>
      <c r="T37" s="98">
        <v>0</v>
      </c>
      <c r="U37" s="98">
        <v>0</v>
      </c>
      <c r="V37" s="98">
        <v>0</v>
      </c>
      <c r="W37" s="98">
        <v>0</v>
      </c>
      <c r="X37" s="98">
        <v>0</v>
      </c>
      <c r="Y37" s="98">
        <v>0</v>
      </c>
      <c r="Z37" s="98">
        <v>0</v>
      </c>
      <c r="AA37" s="98">
        <v>0</v>
      </c>
      <c r="AB37" s="98">
        <v>0</v>
      </c>
      <c r="AC37" s="98">
        <v>8519060.5343076866</v>
      </c>
      <c r="AG37" s="26"/>
      <c r="AP37" s="27"/>
    </row>
    <row r="38" spans="1:43" ht="15" x14ac:dyDescent="0.25">
      <c r="A38" s="48" t="s">
        <v>79</v>
      </c>
      <c r="B38" s="52">
        <v>2954751.8932274585</v>
      </c>
      <c r="C38" s="52">
        <v>0</v>
      </c>
      <c r="D38" s="52">
        <v>1176484.1947611726</v>
      </c>
      <c r="E38" s="52">
        <v>161815.54727423104</v>
      </c>
      <c r="F38" s="52">
        <v>256179.56115836161</v>
      </c>
      <c r="G38" s="52">
        <v>0</v>
      </c>
      <c r="H38" s="52">
        <v>3628756.230663388</v>
      </c>
      <c r="I38" s="52">
        <v>606382.47189080296</v>
      </c>
      <c r="J38" s="52">
        <v>0</v>
      </c>
      <c r="K38" s="52">
        <v>0</v>
      </c>
      <c r="L38" s="52">
        <v>0</v>
      </c>
      <c r="M38" s="52">
        <v>0</v>
      </c>
      <c r="N38" s="52">
        <v>0</v>
      </c>
      <c r="O38" s="52">
        <v>0</v>
      </c>
      <c r="P38" s="52">
        <v>0</v>
      </c>
      <c r="Q38" s="52">
        <v>0</v>
      </c>
      <c r="R38" s="52">
        <v>0</v>
      </c>
      <c r="S38" s="52">
        <v>0</v>
      </c>
      <c r="T38" s="52">
        <v>0</v>
      </c>
      <c r="U38" s="52">
        <v>0</v>
      </c>
      <c r="V38" s="52">
        <v>0</v>
      </c>
      <c r="W38" s="52">
        <v>0</v>
      </c>
      <c r="X38" s="52">
        <v>0</v>
      </c>
      <c r="Y38" s="52">
        <v>0</v>
      </c>
      <c r="Z38" s="52">
        <v>0</v>
      </c>
      <c r="AA38" s="52">
        <v>0</v>
      </c>
      <c r="AB38" s="52">
        <v>0</v>
      </c>
      <c r="AC38" s="52">
        <v>8784369.8989754152</v>
      </c>
      <c r="AG38" s="26"/>
      <c r="AP38" s="27"/>
    </row>
    <row r="39" spans="1:43" ht="15" x14ac:dyDescent="0.25">
      <c r="A39" s="49" t="s">
        <v>80</v>
      </c>
      <c r="B39" s="98">
        <v>785094.96894356376</v>
      </c>
      <c r="C39" s="98">
        <v>161406.75010216987</v>
      </c>
      <c r="D39" s="98">
        <v>265036.83321968798</v>
      </c>
      <c r="E39" s="98">
        <v>252091.58943774941</v>
      </c>
      <c r="F39" s="98">
        <v>355040.3439351655</v>
      </c>
      <c r="G39" s="98">
        <v>40879.717206121524</v>
      </c>
      <c r="H39" s="98">
        <v>429509.56211231672</v>
      </c>
      <c r="I39" s="98">
        <v>68132.862010202574</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0</v>
      </c>
      <c r="AA39" s="98">
        <v>0</v>
      </c>
      <c r="AB39" s="98">
        <v>0</v>
      </c>
      <c r="AC39" s="98">
        <v>2357192.626966977</v>
      </c>
      <c r="AG39" s="26"/>
      <c r="AP39" s="27"/>
    </row>
    <row r="40" spans="1:43" ht="15" x14ac:dyDescent="0.25">
      <c r="A40" s="48" t="s">
        <v>81</v>
      </c>
      <c r="B40" s="52">
        <v>81759.434412243034</v>
      </c>
      <c r="C40" s="52">
        <v>20439.858603060773</v>
      </c>
      <c r="D40" s="52">
        <v>47693.00340714179</v>
      </c>
      <c r="E40" s="52">
        <v>109012.57921632407</v>
      </c>
      <c r="F40" s="52">
        <v>20439.858603060766</v>
      </c>
      <c r="G40" s="52">
        <v>0</v>
      </c>
      <c r="H40" s="52">
        <v>200310.61430999544</v>
      </c>
      <c r="I40" s="52">
        <v>0</v>
      </c>
      <c r="J40" s="52">
        <v>0</v>
      </c>
      <c r="K40" s="52">
        <v>0</v>
      </c>
      <c r="L40" s="52">
        <v>0</v>
      </c>
      <c r="M40" s="52">
        <v>0</v>
      </c>
      <c r="N40" s="52">
        <v>0</v>
      </c>
      <c r="O40" s="52">
        <v>0</v>
      </c>
      <c r="P40" s="52">
        <v>0</v>
      </c>
      <c r="Q40" s="52">
        <v>0</v>
      </c>
      <c r="R40" s="52">
        <v>0</v>
      </c>
      <c r="S40" s="52">
        <v>0</v>
      </c>
      <c r="T40" s="52">
        <v>0</v>
      </c>
      <c r="U40" s="52">
        <v>0</v>
      </c>
      <c r="V40" s="52">
        <v>0</v>
      </c>
      <c r="W40" s="52">
        <v>70858.176490610655</v>
      </c>
      <c r="X40" s="52">
        <v>0</v>
      </c>
      <c r="Y40" s="52">
        <v>0</v>
      </c>
      <c r="Z40" s="52">
        <v>13626.57240204051</v>
      </c>
      <c r="AA40" s="52">
        <v>51099.646507651909</v>
      </c>
      <c r="AB40" s="52">
        <v>0</v>
      </c>
      <c r="AC40" s="52">
        <v>615239.74395212892</v>
      </c>
      <c r="AG40" s="26"/>
      <c r="AP40" s="27"/>
    </row>
    <row r="41" spans="1:43" ht="15" x14ac:dyDescent="0.25">
      <c r="A41" s="49" t="s">
        <v>82</v>
      </c>
      <c r="B41" s="98">
        <v>443408.66596239799</v>
      </c>
      <c r="C41" s="98">
        <v>150369.22645651706</v>
      </c>
      <c r="D41" s="98">
        <v>388629.84490619547</v>
      </c>
      <c r="E41" s="98">
        <v>364374.54603056324</v>
      </c>
      <c r="F41" s="98">
        <v>263537.91025546344</v>
      </c>
      <c r="G41" s="98">
        <v>71539.505110712678</v>
      </c>
      <c r="H41" s="98">
        <v>318793.66134573758</v>
      </c>
      <c r="I41" s="98">
        <v>126045.79471887476</v>
      </c>
      <c r="J41" s="98">
        <v>13626.572402040516</v>
      </c>
      <c r="K41" s="98">
        <v>0</v>
      </c>
      <c r="L41" s="98">
        <v>16351.886882448613</v>
      </c>
      <c r="M41" s="98">
        <v>0</v>
      </c>
      <c r="N41" s="98">
        <v>0</v>
      </c>
      <c r="O41" s="98">
        <v>0</v>
      </c>
      <c r="P41" s="98">
        <v>11718.852265754838</v>
      </c>
      <c r="Q41" s="98">
        <v>0</v>
      </c>
      <c r="R41" s="98">
        <v>0</v>
      </c>
      <c r="S41" s="98">
        <v>6813.2862010202552</v>
      </c>
      <c r="T41" s="98">
        <v>0</v>
      </c>
      <c r="U41" s="98">
        <v>0</v>
      </c>
      <c r="V41" s="98">
        <v>0</v>
      </c>
      <c r="W41" s="98">
        <v>0</v>
      </c>
      <c r="X41" s="98">
        <v>0</v>
      </c>
      <c r="Y41" s="98">
        <v>0</v>
      </c>
      <c r="Z41" s="98">
        <v>0</v>
      </c>
      <c r="AA41" s="98">
        <v>0</v>
      </c>
      <c r="AB41" s="98">
        <v>6813.2862010202571</v>
      </c>
      <c r="AC41" s="98">
        <v>2182023.0387387462</v>
      </c>
      <c r="AG41" s="26"/>
      <c r="AP41" s="27"/>
    </row>
    <row r="42" spans="1:43" ht="15" x14ac:dyDescent="0.25">
      <c r="A42" s="48" t="s">
        <v>83</v>
      </c>
      <c r="B42" s="52">
        <v>149892.29642244556</v>
      </c>
      <c r="C42" s="52">
        <v>13626.572402040514</v>
      </c>
      <c r="D42" s="52">
        <v>340664.31005101278</v>
      </c>
      <c r="E42" s="52">
        <v>0</v>
      </c>
      <c r="F42" s="52">
        <v>27253.144804081021</v>
      </c>
      <c r="G42" s="52">
        <v>40879.717206121524</v>
      </c>
      <c r="H42" s="52">
        <v>271713.85369668773</v>
      </c>
      <c r="I42" s="52">
        <v>307960.53628611565</v>
      </c>
      <c r="J42" s="52">
        <v>0</v>
      </c>
      <c r="K42" s="52">
        <v>13626.57240204051</v>
      </c>
      <c r="L42" s="52">
        <v>54506.289608162042</v>
      </c>
      <c r="M42" s="52">
        <v>0</v>
      </c>
      <c r="N42" s="52">
        <v>0</v>
      </c>
      <c r="O42" s="52">
        <v>0</v>
      </c>
      <c r="P42" s="52">
        <v>13626.572402040509</v>
      </c>
      <c r="Q42" s="52">
        <v>0</v>
      </c>
      <c r="R42" s="52">
        <v>13626.572402040512</v>
      </c>
      <c r="S42" s="52">
        <v>13626.57240204051</v>
      </c>
      <c r="T42" s="52">
        <v>0</v>
      </c>
      <c r="U42" s="52">
        <v>0</v>
      </c>
      <c r="V42" s="52">
        <v>0</v>
      </c>
      <c r="W42" s="52">
        <v>0</v>
      </c>
      <c r="X42" s="52">
        <v>0</v>
      </c>
      <c r="Y42" s="52">
        <v>0</v>
      </c>
      <c r="Z42" s="52">
        <v>0</v>
      </c>
      <c r="AA42" s="52">
        <v>0</v>
      </c>
      <c r="AB42" s="52">
        <v>0</v>
      </c>
      <c r="AC42" s="52">
        <v>1261003.0100848288</v>
      </c>
      <c r="AG42" s="26"/>
      <c r="AP42" s="27"/>
    </row>
    <row r="43" spans="1:43" ht="15" x14ac:dyDescent="0.25">
      <c r="A43" s="49" t="s">
        <v>84</v>
      </c>
      <c r="B43" s="98">
        <v>495053.3753661316</v>
      </c>
      <c r="C43" s="98">
        <v>15874.9568483772</v>
      </c>
      <c r="D43" s="98">
        <v>171694.81226571044</v>
      </c>
      <c r="E43" s="98">
        <v>156705.58262346583</v>
      </c>
      <c r="F43" s="98">
        <v>149892.29642244559</v>
      </c>
      <c r="G43" s="98">
        <v>0</v>
      </c>
      <c r="H43" s="98">
        <v>116166.52972739532</v>
      </c>
      <c r="I43" s="98">
        <v>102199.29301530386</v>
      </c>
      <c r="J43" s="98">
        <v>0</v>
      </c>
      <c r="K43" s="98">
        <v>0</v>
      </c>
      <c r="L43" s="98">
        <v>0</v>
      </c>
      <c r="M43" s="98">
        <v>0</v>
      </c>
      <c r="N43" s="98">
        <v>0</v>
      </c>
      <c r="O43" s="98">
        <v>0</v>
      </c>
      <c r="P43" s="98">
        <v>0</v>
      </c>
      <c r="Q43" s="98">
        <v>0</v>
      </c>
      <c r="R43" s="98">
        <v>0</v>
      </c>
      <c r="S43" s="98">
        <v>0</v>
      </c>
      <c r="T43" s="98">
        <v>0</v>
      </c>
      <c r="U43" s="98">
        <v>0</v>
      </c>
      <c r="V43" s="98">
        <v>0</v>
      </c>
      <c r="W43" s="98">
        <v>0</v>
      </c>
      <c r="X43" s="98">
        <v>0</v>
      </c>
      <c r="Y43" s="98">
        <v>0</v>
      </c>
      <c r="Z43" s="98">
        <v>0</v>
      </c>
      <c r="AA43" s="98">
        <v>0</v>
      </c>
      <c r="AB43" s="98">
        <v>0</v>
      </c>
      <c r="AC43" s="98">
        <v>1207586.8462688297</v>
      </c>
      <c r="AG43" s="26"/>
      <c r="AP43" s="27"/>
    </row>
    <row r="44" spans="1:43" ht="15" x14ac:dyDescent="0.25">
      <c r="A44" s="48" t="s">
        <v>85</v>
      </c>
      <c r="B44" s="52">
        <v>388357.31345815439</v>
      </c>
      <c r="C44" s="52">
        <v>74946.148211222826</v>
      </c>
      <c r="D44" s="52">
        <v>64726.218909692434</v>
      </c>
      <c r="E44" s="52">
        <v>463303.46166937728</v>
      </c>
      <c r="F44" s="52">
        <v>177145.44122652663</v>
      </c>
      <c r="G44" s="52">
        <v>0</v>
      </c>
      <c r="H44" s="52">
        <v>256179.56115836152</v>
      </c>
      <c r="I44" s="52">
        <v>136265.72402040515</v>
      </c>
      <c r="J44" s="52">
        <v>65407.547529794472</v>
      </c>
      <c r="K44" s="52">
        <v>81759.434412243063</v>
      </c>
      <c r="L44" s="52">
        <v>16351.886882448613</v>
      </c>
      <c r="M44" s="52">
        <v>0</v>
      </c>
      <c r="N44" s="52">
        <v>0</v>
      </c>
      <c r="O44" s="52">
        <v>0</v>
      </c>
      <c r="P44" s="52">
        <v>0</v>
      </c>
      <c r="Q44" s="52">
        <v>0</v>
      </c>
      <c r="R44" s="52">
        <v>27253.144804081025</v>
      </c>
      <c r="S44" s="52">
        <v>0</v>
      </c>
      <c r="T44" s="52">
        <v>0</v>
      </c>
      <c r="U44" s="52">
        <v>0</v>
      </c>
      <c r="V44" s="52">
        <v>0</v>
      </c>
      <c r="W44" s="52">
        <v>0</v>
      </c>
      <c r="X44" s="52">
        <v>0</v>
      </c>
      <c r="Y44" s="52">
        <v>0</v>
      </c>
      <c r="Z44" s="52">
        <v>0</v>
      </c>
      <c r="AA44" s="52">
        <v>0</v>
      </c>
      <c r="AB44" s="52">
        <v>0</v>
      </c>
      <c r="AC44" s="52">
        <v>1751695.8822823076</v>
      </c>
      <c r="AG44" s="26"/>
      <c r="AP44" s="27"/>
    </row>
    <row r="45" spans="1:43" ht="15" x14ac:dyDescent="0.25">
      <c r="A45" s="49" t="s">
        <v>86</v>
      </c>
      <c r="B45" s="98">
        <v>85166.077512753152</v>
      </c>
      <c r="C45" s="98">
        <v>0</v>
      </c>
      <c r="D45" s="98">
        <v>1802114.2001698581</v>
      </c>
      <c r="E45" s="98">
        <v>0</v>
      </c>
      <c r="F45" s="98">
        <v>0</v>
      </c>
      <c r="G45" s="98">
        <v>0</v>
      </c>
      <c r="H45" s="98">
        <v>102199.29301530379</v>
      </c>
      <c r="I45" s="98">
        <v>0</v>
      </c>
      <c r="J45" s="98">
        <v>0</v>
      </c>
      <c r="K45" s="98">
        <v>0</v>
      </c>
      <c r="L45" s="98">
        <v>0</v>
      </c>
      <c r="M45" s="98">
        <v>0</v>
      </c>
      <c r="N45" s="98">
        <v>0</v>
      </c>
      <c r="O45" s="98">
        <v>0</v>
      </c>
      <c r="P45" s="98">
        <v>0</v>
      </c>
      <c r="Q45" s="98">
        <v>0</v>
      </c>
      <c r="R45" s="98">
        <v>0</v>
      </c>
      <c r="S45" s="98">
        <v>0</v>
      </c>
      <c r="T45" s="98">
        <v>0</v>
      </c>
      <c r="U45" s="98">
        <v>0</v>
      </c>
      <c r="V45" s="98">
        <v>0</v>
      </c>
      <c r="W45" s="98">
        <v>0</v>
      </c>
      <c r="X45" s="98">
        <v>0</v>
      </c>
      <c r="Y45" s="98">
        <v>0</v>
      </c>
      <c r="Z45" s="98">
        <v>0</v>
      </c>
      <c r="AA45" s="98">
        <v>0</v>
      </c>
      <c r="AB45" s="98">
        <v>0</v>
      </c>
      <c r="AC45" s="98">
        <v>1989479.570697915</v>
      </c>
      <c r="AG45" s="26"/>
      <c r="AP45" s="27"/>
    </row>
    <row r="46" spans="1:43" ht="15" x14ac:dyDescent="0.25">
      <c r="A46" s="48" t="s">
        <v>87</v>
      </c>
      <c r="B46" s="52">
        <v>853432.22953979694</v>
      </c>
      <c r="C46" s="52">
        <v>13626.572402040514</v>
      </c>
      <c r="D46" s="52">
        <v>1046793.2919247523</v>
      </c>
      <c r="E46" s="52">
        <v>40879.717206121524</v>
      </c>
      <c r="F46" s="52">
        <v>152072.54800677209</v>
      </c>
      <c r="G46" s="52">
        <v>0</v>
      </c>
      <c r="H46" s="52">
        <v>0</v>
      </c>
      <c r="I46" s="52">
        <v>369552.64354333875</v>
      </c>
      <c r="J46" s="52">
        <v>506908.49335590715</v>
      </c>
      <c r="K46" s="52">
        <v>50690.849335590698</v>
      </c>
      <c r="L46" s="52">
        <v>44150.094582611258</v>
      </c>
      <c r="M46" s="52">
        <v>30114.725008509522</v>
      </c>
      <c r="N46" s="52">
        <v>126727.12333897676</v>
      </c>
      <c r="O46" s="52">
        <v>91979.363713773462</v>
      </c>
      <c r="P46" s="52">
        <v>308096.80201013596</v>
      </c>
      <c r="Q46" s="52">
        <v>72220.833730814717</v>
      </c>
      <c r="R46" s="52">
        <v>98792.649914793714</v>
      </c>
      <c r="S46" s="52">
        <v>0</v>
      </c>
      <c r="T46" s="52">
        <v>0</v>
      </c>
      <c r="U46" s="52">
        <v>127953.51485516038</v>
      </c>
      <c r="V46" s="52">
        <v>0</v>
      </c>
      <c r="W46" s="52">
        <v>0</v>
      </c>
      <c r="X46" s="52">
        <v>0</v>
      </c>
      <c r="Y46" s="52">
        <v>0</v>
      </c>
      <c r="Z46" s="52">
        <v>0</v>
      </c>
      <c r="AA46" s="52">
        <v>0</v>
      </c>
      <c r="AB46" s="52">
        <v>40879.717206121539</v>
      </c>
      <c r="AC46" s="52">
        <v>3974871.1696752175</v>
      </c>
      <c r="AG46" s="26"/>
      <c r="AP46" s="27"/>
    </row>
    <row r="47" spans="1:43" ht="15" x14ac:dyDescent="0.25">
      <c r="A47" s="49" t="s">
        <v>39</v>
      </c>
      <c r="B47" s="53">
        <v>48820603.863177389</v>
      </c>
      <c r="C47" s="53">
        <v>9369359.3335236385</v>
      </c>
      <c r="D47" s="53">
        <v>24163877.67728788</v>
      </c>
      <c r="E47" s="53">
        <v>17692378.231545344</v>
      </c>
      <c r="F47" s="53">
        <v>16805333.790080514</v>
      </c>
      <c r="G47" s="53">
        <v>4692378.3395046601</v>
      </c>
      <c r="H47" s="53">
        <v>36856507.814835921</v>
      </c>
      <c r="I47" s="53">
        <v>8394176.4048860874</v>
      </c>
      <c r="J47" s="53">
        <v>2131570.6544201924</v>
      </c>
      <c r="K47" s="53">
        <v>473046.46093683632</v>
      </c>
      <c r="L47" s="53">
        <v>475260.77895216795</v>
      </c>
      <c r="M47" s="53">
        <v>121412.76010218094</v>
      </c>
      <c r="N47" s="53">
        <v>389140.84137127188</v>
      </c>
      <c r="O47" s="53">
        <v>98792.649914793714</v>
      </c>
      <c r="P47" s="53">
        <v>869893.12900146202</v>
      </c>
      <c r="Q47" s="53">
        <v>160793.55434407803</v>
      </c>
      <c r="R47" s="53">
        <v>288202.00630315684</v>
      </c>
      <c r="S47" s="53">
        <v>152617.61090285372</v>
      </c>
      <c r="T47" s="53">
        <v>27253.144804081021</v>
      </c>
      <c r="U47" s="53">
        <v>149756.03069842519</v>
      </c>
      <c r="V47" s="53">
        <v>39517.059965917477</v>
      </c>
      <c r="W47" s="53">
        <v>70858.176490610655</v>
      </c>
      <c r="X47" s="53">
        <v>20439.858603060766</v>
      </c>
      <c r="Y47" s="53">
        <v>20439.858603060766</v>
      </c>
      <c r="Z47" s="53">
        <v>13626.57240204051</v>
      </c>
      <c r="AA47" s="53">
        <v>51099.646507651909</v>
      </c>
      <c r="AB47" s="53">
        <v>151663.7508347109</v>
      </c>
      <c r="AC47" s="53">
        <v>172500000.00000003</v>
      </c>
      <c r="AG47" s="26"/>
      <c r="AP47" s="27"/>
    </row>
    <row r="48" spans="1:43" s="104" customFormat="1" ht="15" x14ac:dyDescent="0.25">
      <c r="A48" s="99" t="s">
        <v>88</v>
      </c>
      <c r="B48" s="100">
        <f>VLOOKUP(B4,'1.1'!$A:$B,2,FALSE)-B47</f>
        <v>0</v>
      </c>
      <c r="C48" s="100">
        <f>VLOOKUP(C4,'1.1'!$A:$B,2,FALSE)-C47</f>
        <v>0</v>
      </c>
      <c r="D48" s="100">
        <f>VLOOKUP(D4,'1.1'!$A:$B,2,FALSE)-D47</f>
        <v>0</v>
      </c>
      <c r="E48" s="100">
        <f>VLOOKUP(E4,'1.1'!$A:$B,2,FALSE)-E47</f>
        <v>0</v>
      </c>
      <c r="F48" s="100">
        <f>VLOOKUP(F4,'1.1'!$A:$B,2,FALSE)-F47</f>
        <v>0</v>
      </c>
      <c r="G48" s="100">
        <f>VLOOKUP(G4,'1.1'!$A:$B,2,FALSE)-G47</f>
        <v>0</v>
      </c>
      <c r="H48" s="100">
        <f>VLOOKUP(H4,'1.1'!$A:$B,2,FALSE)-H47</f>
        <v>0</v>
      </c>
      <c r="I48" s="100">
        <f>VLOOKUP(I4,'1.1'!$A:$B,2,FALSE)-I47</f>
        <v>0</v>
      </c>
      <c r="J48" s="100">
        <f>VLOOKUP(J4,'1.1'!$A:$B,2,FALSE)-J47</f>
        <v>0</v>
      </c>
      <c r="K48" s="100">
        <f>VLOOKUP(K4,'1.1'!$A:$B,2,FALSE)-K47</f>
        <v>0</v>
      </c>
      <c r="L48" s="100">
        <f>VLOOKUP(L4,'1.1'!$A:$B,2,FALSE)-L47</f>
        <v>0</v>
      </c>
      <c r="M48" s="100">
        <f>VLOOKUP(M4,'1.1'!$A:$B,2,FALSE)-M47</f>
        <v>0</v>
      </c>
      <c r="N48" s="100">
        <f>VLOOKUP(N4,'1.1'!$A:$B,2,FALSE)-N47</f>
        <v>0</v>
      </c>
      <c r="O48" s="100">
        <f>VLOOKUP(O4,'1.1'!$A:$B,2,FALSE)-O47</f>
        <v>0</v>
      </c>
      <c r="P48" s="100">
        <f>VLOOKUP(P4,'1.1'!$A:$B,2,FALSE)-P47</f>
        <v>0</v>
      </c>
      <c r="Q48" s="100">
        <f>VLOOKUP(Q4,'1.1'!$A:$B,2,FALSE)-Q47</f>
        <v>0</v>
      </c>
      <c r="R48" s="100">
        <f>VLOOKUP(R4,'1.1'!$A:$B,2,FALSE)-R47</f>
        <v>0</v>
      </c>
      <c r="S48" s="100">
        <f>VLOOKUP(S4,'1.1'!$A:$B,2,FALSE)-S47</f>
        <v>0</v>
      </c>
      <c r="T48" s="100">
        <f>VLOOKUP(T4,'1.1'!$A:$B,2,FALSE)-T47</f>
        <v>0</v>
      </c>
      <c r="U48" s="100">
        <f>VLOOKUP(U4,'1.1'!$A:$B,2,FALSE)-U47</f>
        <v>0</v>
      </c>
      <c r="V48" s="100">
        <f>VLOOKUP(V4,'1.1'!$A:$B,2,FALSE)-V47</f>
        <v>0</v>
      </c>
      <c r="W48" s="100">
        <f>VLOOKUP(W4,'1.1'!$A:$B,2,FALSE)-W47</f>
        <v>0</v>
      </c>
      <c r="X48" s="100">
        <f>VLOOKUP(X4,'1.1'!$A:$B,2,FALSE)-X47</f>
        <v>0</v>
      </c>
      <c r="Y48" s="100">
        <f>VLOOKUP(Y4,'1.1'!$A:$B,2,FALSE)-Y47</f>
        <v>0</v>
      </c>
      <c r="Z48" s="100">
        <f>VLOOKUP(Z4,'1.1'!$A:$B,2,FALSE)-Z47</f>
        <v>0</v>
      </c>
      <c r="AA48" s="100">
        <f>VLOOKUP(AA4,'1.1'!$A:$B,2,FALSE)-AA47</f>
        <v>0</v>
      </c>
      <c r="AB48" s="100">
        <f>VLOOKUP(AB4,'1.1'!$A:$B,2,FALSE)-AB47</f>
        <v>0</v>
      </c>
      <c r="AC48" s="100"/>
      <c r="AD48" s="100"/>
      <c r="AE48" s="101"/>
      <c r="AF48" s="101"/>
      <c r="AG48" s="99"/>
      <c r="AH48" s="101"/>
      <c r="AI48" s="101"/>
      <c r="AJ48" s="101"/>
      <c r="AK48" s="101"/>
      <c r="AL48" s="101"/>
      <c r="AM48" s="101"/>
      <c r="AN48" s="101"/>
      <c r="AO48" s="101"/>
      <c r="AP48" s="102"/>
      <c r="AQ48" s="103"/>
    </row>
    <row r="49" spans="1:43" ht="15" x14ac:dyDescent="0.25">
      <c r="A49" s="26"/>
      <c r="B49" s="26"/>
      <c r="C49" s="26"/>
      <c r="AG49" s="26"/>
      <c r="AP49" s="27"/>
    </row>
    <row r="50" spans="1:43" ht="15" x14ac:dyDescent="0.25">
      <c r="A50" s="26"/>
      <c r="B50" s="26"/>
      <c r="C50" s="26"/>
      <c r="AG50" s="26"/>
      <c r="AP50" s="27"/>
    </row>
    <row r="51" spans="1:43" ht="15" x14ac:dyDescent="0.25">
      <c r="A51" s="26"/>
      <c r="B51" s="26"/>
      <c r="C51" s="26"/>
      <c r="AG51" s="26"/>
      <c r="AP51" s="27"/>
    </row>
    <row r="52" spans="1:43" ht="15" x14ac:dyDescent="0.25">
      <c r="A52" s="26"/>
      <c r="B52" s="26"/>
      <c r="C52" s="26"/>
      <c r="AG52" s="26"/>
      <c r="AP52" s="27"/>
    </row>
    <row r="53" spans="1:43" ht="15" x14ac:dyDescent="0.25">
      <c r="A53" s="26"/>
      <c r="B53" s="26"/>
      <c r="C53" s="26"/>
      <c r="AG53" s="26"/>
      <c r="AP53" s="27"/>
    </row>
    <row r="54" spans="1:43" ht="15" x14ac:dyDescent="0.25">
      <c r="A54" s="26"/>
      <c r="B54" s="26"/>
      <c r="C54" s="26"/>
      <c r="AG54" s="26"/>
      <c r="AP54" s="27"/>
    </row>
    <row r="55" spans="1:43" ht="15" x14ac:dyDescent="0.25">
      <c r="A55" s="26"/>
      <c r="B55" s="26"/>
      <c r="C55" s="26"/>
      <c r="AG55" s="26"/>
      <c r="AP55" s="27"/>
    </row>
    <row r="56" spans="1:43" ht="15" x14ac:dyDescent="0.25">
      <c r="A56" s="26"/>
      <c r="B56" s="26"/>
      <c r="C56" s="26"/>
      <c r="AG56" s="26"/>
      <c r="AH56" s="28"/>
      <c r="AI56" s="28"/>
      <c r="AJ56" s="28"/>
      <c r="AK56" s="28"/>
      <c r="AL56" s="28"/>
      <c r="AM56" s="28"/>
      <c r="AN56" s="28"/>
      <c r="AO56" s="28"/>
      <c r="AP56" s="29"/>
      <c r="AQ56" s="30"/>
    </row>
    <row r="57" spans="1:43" ht="15" x14ac:dyDescent="0.25">
      <c r="A57" s="26"/>
      <c r="B57" s="26"/>
      <c r="C57" s="26"/>
      <c r="AG57" s="26"/>
      <c r="AP57" s="27"/>
    </row>
    <row r="58" spans="1:43" ht="15" x14ac:dyDescent="0.25">
      <c r="A58" s="26"/>
      <c r="B58" s="26"/>
      <c r="C58" s="26"/>
      <c r="AG58" s="26"/>
      <c r="AP58" s="27"/>
    </row>
    <row r="59" spans="1:43" ht="15" x14ac:dyDescent="0.25">
      <c r="A59" s="26"/>
      <c r="B59" s="26"/>
      <c r="C59" s="26"/>
      <c r="AG59" s="26"/>
      <c r="AP59" s="27"/>
    </row>
    <row r="60" spans="1:43" ht="15" x14ac:dyDescent="0.25">
      <c r="A60" s="26"/>
      <c r="B60" s="26"/>
      <c r="C60" s="26"/>
      <c r="AG60" s="26"/>
      <c r="AP60" s="27"/>
    </row>
    <row r="61" spans="1:43" ht="15" x14ac:dyDescent="0.25">
      <c r="A61" s="26"/>
      <c r="B61" s="26"/>
      <c r="C61" s="26"/>
      <c r="AG61" s="26"/>
      <c r="AP61" s="27"/>
    </row>
    <row r="62" spans="1:43" ht="15" x14ac:dyDescent="0.25">
      <c r="A62" s="26"/>
      <c r="B62" s="26"/>
      <c r="C62" s="26"/>
      <c r="AG62" s="26"/>
      <c r="AP62" s="27"/>
    </row>
    <row r="63" spans="1:43" ht="15" x14ac:dyDescent="0.25">
      <c r="A63" s="26"/>
      <c r="B63" s="26"/>
      <c r="C63" s="26"/>
      <c r="AG63" s="26"/>
      <c r="AP63" s="27"/>
    </row>
    <row r="64" spans="1:43" ht="15" x14ac:dyDescent="0.25">
      <c r="A64" s="26"/>
      <c r="B64" s="26"/>
      <c r="C64" s="26"/>
      <c r="AG64" s="26"/>
      <c r="AP64" s="27"/>
    </row>
    <row r="65" spans="1:42" ht="15" x14ac:dyDescent="0.25">
      <c r="A65" s="26"/>
      <c r="B65" s="26"/>
      <c r="C65" s="26"/>
      <c r="AG65" s="26"/>
      <c r="AP65" s="27"/>
    </row>
    <row r="66" spans="1:42" ht="15" x14ac:dyDescent="0.25">
      <c r="A66" s="26"/>
      <c r="B66" s="26"/>
      <c r="C66" s="26"/>
      <c r="AG66" s="26"/>
      <c r="AP66" s="27"/>
    </row>
    <row r="67" spans="1:42" ht="15" x14ac:dyDescent="0.25">
      <c r="A67" s="26"/>
      <c r="B67" s="26"/>
      <c r="C67" s="26"/>
      <c r="AG67" s="26"/>
      <c r="AP67" s="27"/>
    </row>
    <row r="68" spans="1:42" ht="15" x14ac:dyDescent="0.25">
      <c r="A68" s="26"/>
      <c r="B68" s="26"/>
      <c r="C68" s="26"/>
      <c r="AG68" s="26"/>
      <c r="AP68" s="27"/>
    </row>
    <row r="69" spans="1:42" ht="15" x14ac:dyDescent="0.25">
      <c r="A69" s="26"/>
      <c r="B69" s="26"/>
      <c r="C69" s="26"/>
      <c r="AG69" s="26"/>
      <c r="AP69" s="27"/>
    </row>
    <row r="70" spans="1:42" ht="15" x14ac:dyDescent="0.25">
      <c r="A70" s="26"/>
      <c r="B70" s="26"/>
      <c r="C70" s="26"/>
      <c r="AG70" s="26"/>
      <c r="AP70" s="27"/>
    </row>
    <row r="71" spans="1:42" ht="15" x14ac:dyDescent="0.25">
      <c r="A71" s="26"/>
      <c r="B71" s="26"/>
      <c r="C71" s="26"/>
      <c r="AG71" s="26"/>
      <c r="AP71" s="27"/>
    </row>
    <row r="72" spans="1:42" ht="15" x14ac:dyDescent="0.25">
      <c r="A72" s="26"/>
      <c r="B72" s="26"/>
      <c r="C72" s="26"/>
      <c r="AG72" s="26"/>
      <c r="AP72" s="27"/>
    </row>
    <row r="73" spans="1:42" ht="15" x14ac:dyDescent="0.25">
      <c r="A73" s="26"/>
      <c r="B73" s="26"/>
      <c r="C73" s="26"/>
      <c r="AG73" s="26"/>
      <c r="AP73" s="27"/>
    </row>
    <row r="74" spans="1:42" ht="15" x14ac:dyDescent="0.25">
      <c r="A74" s="26"/>
      <c r="B74" s="26"/>
      <c r="C74" s="26"/>
      <c r="AG74" s="26"/>
      <c r="AP74" s="27"/>
    </row>
    <row r="75" spans="1:42" ht="15" x14ac:dyDescent="0.25">
      <c r="A75" s="26"/>
      <c r="B75" s="26"/>
      <c r="C75" s="26"/>
      <c r="AG75" s="26"/>
      <c r="AP75" s="27"/>
    </row>
    <row r="76" spans="1:42" ht="15" x14ac:dyDescent="0.25">
      <c r="A76" s="26"/>
      <c r="B76" s="26"/>
      <c r="C76" s="26"/>
      <c r="AG76" s="26"/>
      <c r="AP76" s="27"/>
    </row>
    <row r="77" spans="1:42" ht="15" x14ac:dyDescent="0.25">
      <c r="A77" s="26"/>
      <c r="B77" s="26"/>
      <c r="C77" s="26"/>
      <c r="AG77" s="26"/>
      <c r="AP77" s="27"/>
    </row>
    <row r="78" spans="1:42" ht="15" x14ac:dyDescent="0.25">
      <c r="A78" s="26"/>
      <c r="B78" s="26"/>
      <c r="C78" s="26"/>
      <c r="AG78" s="26"/>
      <c r="AP78" s="27"/>
    </row>
    <row r="79" spans="1:42" ht="15" x14ac:dyDescent="0.25">
      <c r="A79" s="26"/>
      <c r="B79" s="26"/>
      <c r="C79" s="26"/>
      <c r="AG79" s="26"/>
      <c r="AP79" s="27"/>
    </row>
    <row r="80" spans="1:42" ht="15" x14ac:dyDescent="0.25">
      <c r="A80" s="26"/>
      <c r="B80" s="26"/>
      <c r="C80" s="26"/>
      <c r="AG80" s="26"/>
      <c r="AP80" s="27"/>
    </row>
    <row r="81" spans="1:42" ht="15" x14ac:dyDescent="0.25">
      <c r="A81" s="26"/>
      <c r="B81" s="26"/>
      <c r="C81" s="26"/>
      <c r="AG81" s="26"/>
      <c r="AP81" s="27"/>
    </row>
    <row r="82" spans="1:42" ht="15" x14ac:dyDescent="0.25">
      <c r="A82" s="26"/>
      <c r="B82" s="26"/>
      <c r="C82" s="26"/>
      <c r="AG82" s="26"/>
      <c r="AP82" s="27"/>
    </row>
    <row r="83" spans="1:42" ht="15" x14ac:dyDescent="0.25">
      <c r="A83" s="26"/>
      <c r="B83" s="26"/>
      <c r="C83" s="26"/>
      <c r="AG83" s="26"/>
      <c r="AP83" s="27"/>
    </row>
    <row r="84" spans="1:42" ht="15" x14ac:dyDescent="0.25">
      <c r="A84" s="26"/>
      <c r="B84" s="26"/>
      <c r="C84" s="26"/>
      <c r="AG84" s="26"/>
      <c r="AP84" s="27"/>
    </row>
    <row r="85" spans="1:42" ht="15" x14ac:dyDescent="0.25">
      <c r="A85" s="26"/>
      <c r="B85" s="26"/>
      <c r="C85" s="26"/>
      <c r="AG85" s="26"/>
      <c r="AP85" s="27"/>
    </row>
    <row r="86" spans="1:42" ht="15" x14ac:dyDescent="0.25">
      <c r="A86" s="26"/>
      <c r="B86" s="26"/>
      <c r="C86" s="26"/>
      <c r="AG86" s="26"/>
      <c r="AP86" s="27"/>
    </row>
    <row r="87" spans="1:42" ht="15" x14ac:dyDescent="0.25">
      <c r="A87" s="26"/>
      <c r="B87" s="26"/>
      <c r="C87" s="26"/>
      <c r="AG87" s="26"/>
      <c r="AP87" s="27"/>
    </row>
    <row r="88" spans="1:42" ht="15" x14ac:dyDescent="0.25">
      <c r="A88" s="26"/>
      <c r="B88" s="26"/>
      <c r="C88" s="26"/>
      <c r="AG88" s="26"/>
      <c r="AP88" s="27"/>
    </row>
    <row r="89" spans="1:42" ht="15" x14ac:dyDescent="0.25">
      <c r="A89" s="26"/>
      <c r="B89" s="26"/>
      <c r="C89" s="26"/>
      <c r="AG89" s="26"/>
      <c r="AP89" s="27"/>
    </row>
    <row r="90" spans="1:42" ht="15" x14ac:dyDescent="0.25">
      <c r="A90" s="26"/>
      <c r="B90" s="26"/>
      <c r="C90" s="26"/>
      <c r="AG90" s="26"/>
      <c r="AP90" s="27"/>
    </row>
    <row r="91" spans="1:42" ht="15" x14ac:dyDescent="0.25">
      <c r="A91" s="26"/>
      <c r="B91" s="26"/>
      <c r="C91" s="26"/>
      <c r="AG91" s="26"/>
      <c r="AP91" s="27"/>
    </row>
    <row r="92" spans="1:42" ht="15" x14ac:dyDescent="0.25">
      <c r="A92" s="26"/>
      <c r="B92" s="26"/>
      <c r="C92" s="26"/>
      <c r="AG92" s="26"/>
      <c r="AP92" s="27"/>
    </row>
    <row r="93" spans="1:42" ht="15" x14ac:dyDescent="0.25">
      <c r="A93" s="26"/>
      <c r="B93" s="26"/>
      <c r="C93" s="26"/>
      <c r="AG93" s="26"/>
      <c r="AP93" s="27"/>
    </row>
    <row r="94" spans="1:42" ht="15" x14ac:dyDescent="0.25">
      <c r="A94" s="26"/>
      <c r="B94" s="26"/>
      <c r="C94" s="26"/>
      <c r="AG94" s="26"/>
      <c r="AP94" s="27"/>
    </row>
    <row r="95" spans="1:42" ht="15" x14ac:dyDescent="0.25">
      <c r="A95" s="26"/>
      <c r="B95" s="26"/>
      <c r="C95" s="26"/>
      <c r="AG95" s="26"/>
      <c r="AP95" s="27"/>
    </row>
    <row r="96" spans="1:42" ht="15" x14ac:dyDescent="0.25">
      <c r="A96" s="26"/>
      <c r="B96" s="26"/>
      <c r="C96" s="26"/>
      <c r="AG96" s="26"/>
      <c r="AP96" s="27"/>
    </row>
    <row r="97" spans="1:43" ht="15" x14ac:dyDescent="0.25">
      <c r="A97" s="26"/>
      <c r="B97" s="26"/>
      <c r="C97" s="26"/>
      <c r="AG97" s="26"/>
      <c r="AH97" s="28"/>
      <c r="AI97" s="28"/>
      <c r="AJ97" s="28"/>
      <c r="AK97" s="28"/>
      <c r="AL97" s="28"/>
      <c r="AM97" s="28"/>
      <c r="AN97" s="28"/>
      <c r="AO97" s="28"/>
      <c r="AP97" s="29"/>
      <c r="AQ97" s="30"/>
    </row>
    <row r="98" spans="1:43" ht="15" x14ac:dyDescent="0.25">
      <c r="A98" s="26"/>
      <c r="B98" s="26"/>
      <c r="C98" s="26"/>
      <c r="AG98" s="26"/>
      <c r="AP98" s="27"/>
    </row>
    <row r="99" spans="1:43" ht="15" x14ac:dyDescent="0.25">
      <c r="A99" s="26"/>
      <c r="B99" s="26"/>
      <c r="C99" s="26"/>
      <c r="AG99" s="26"/>
      <c r="AP99" s="27"/>
    </row>
    <row r="100" spans="1:43" ht="15" x14ac:dyDescent="0.25">
      <c r="A100" s="26"/>
      <c r="B100" s="26"/>
      <c r="C100" s="26"/>
      <c r="AG100" s="26"/>
      <c r="AP100" s="27"/>
    </row>
    <row r="101" spans="1:43" ht="15" x14ac:dyDescent="0.25">
      <c r="A101" s="26"/>
      <c r="B101" s="26"/>
      <c r="C101" s="26"/>
      <c r="AG101" s="26"/>
      <c r="AP101" s="27"/>
    </row>
    <row r="102" spans="1:43" ht="15" x14ac:dyDescent="0.25">
      <c r="A102" s="26"/>
      <c r="B102" s="26"/>
      <c r="C102" s="26"/>
      <c r="AG102" s="26"/>
      <c r="AP102" s="27"/>
    </row>
    <row r="103" spans="1:43" ht="15" x14ac:dyDescent="0.25">
      <c r="A103" s="26"/>
      <c r="B103" s="26"/>
      <c r="C103" s="26"/>
      <c r="AG103" s="26"/>
      <c r="AP103" s="27"/>
    </row>
    <row r="104" spans="1:43" ht="15" x14ac:dyDescent="0.25">
      <c r="A104" s="26"/>
      <c r="B104" s="26"/>
      <c r="C104" s="26"/>
      <c r="AG104" s="26"/>
      <c r="AP104" s="27"/>
    </row>
    <row r="105" spans="1:43" ht="15" x14ac:dyDescent="0.25">
      <c r="A105" s="26"/>
      <c r="B105" s="26"/>
      <c r="C105" s="26"/>
      <c r="AG105" s="26"/>
      <c r="AP105" s="27"/>
    </row>
    <row r="106" spans="1:43" ht="15" x14ac:dyDescent="0.25">
      <c r="A106" s="26"/>
      <c r="B106" s="26"/>
      <c r="C106" s="26"/>
      <c r="AG106" s="26"/>
      <c r="AP106" s="27"/>
    </row>
    <row r="107" spans="1:43" ht="15" x14ac:dyDescent="0.25">
      <c r="A107" s="26"/>
      <c r="B107" s="26"/>
      <c r="C107" s="26"/>
      <c r="AG107" s="26"/>
      <c r="AP107" s="27"/>
    </row>
    <row r="108" spans="1:43" ht="15" x14ac:dyDescent="0.25">
      <c r="A108" s="26"/>
      <c r="B108" s="26"/>
      <c r="C108" s="26"/>
      <c r="AG108" s="26"/>
      <c r="AP108" s="27"/>
    </row>
    <row r="109" spans="1:43" ht="15" x14ac:dyDescent="0.25">
      <c r="A109" s="26"/>
      <c r="B109" s="26"/>
      <c r="C109" s="26"/>
      <c r="AG109" s="26"/>
      <c r="AP109" s="27"/>
    </row>
    <row r="110" spans="1:43" ht="15" x14ac:dyDescent="0.25">
      <c r="A110" s="26"/>
      <c r="B110" s="26"/>
      <c r="C110" s="26"/>
      <c r="AG110" s="26"/>
      <c r="AP110" s="27"/>
    </row>
    <row r="111" spans="1:43" ht="15" x14ac:dyDescent="0.25">
      <c r="A111" s="26"/>
      <c r="B111" s="26"/>
      <c r="C111" s="26"/>
      <c r="AG111" s="26"/>
      <c r="AP111" s="27"/>
    </row>
    <row r="112" spans="1:43" ht="15" x14ac:dyDescent="0.25">
      <c r="A112" s="26"/>
      <c r="B112" s="26"/>
      <c r="C112" s="26"/>
      <c r="AG112" s="26"/>
      <c r="AP112" s="27"/>
    </row>
    <row r="113" spans="1:42" ht="15" x14ac:dyDescent="0.25">
      <c r="A113" s="26"/>
      <c r="B113" s="26"/>
      <c r="C113" s="26"/>
      <c r="AG113" s="26"/>
      <c r="AP113" s="27"/>
    </row>
    <row r="114" spans="1:42" ht="15" x14ac:dyDescent="0.25">
      <c r="A114" s="26"/>
      <c r="B114" s="26"/>
      <c r="C114" s="26"/>
      <c r="AG114" s="26"/>
      <c r="AP114" s="27"/>
    </row>
    <row r="115" spans="1:42" ht="15" x14ac:dyDescent="0.25">
      <c r="A115" s="26"/>
      <c r="B115" s="26"/>
      <c r="C115" s="26"/>
      <c r="AG115" s="26"/>
      <c r="AP115" s="27"/>
    </row>
    <row r="116" spans="1:42" ht="15" x14ac:dyDescent="0.25">
      <c r="A116" s="26"/>
      <c r="B116" s="26"/>
      <c r="C116" s="26"/>
      <c r="AG116" s="26"/>
      <c r="AP116" s="27"/>
    </row>
    <row r="117" spans="1:42" ht="15" x14ac:dyDescent="0.25">
      <c r="A117" s="26"/>
      <c r="B117" s="26"/>
      <c r="C117" s="26"/>
      <c r="AG117" s="26"/>
      <c r="AP117" s="27"/>
    </row>
    <row r="118" spans="1:42" ht="15" x14ac:dyDescent="0.25">
      <c r="A118" s="26"/>
      <c r="B118" s="26"/>
      <c r="C118" s="26"/>
      <c r="AG118" s="26"/>
      <c r="AP118" s="27"/>
    </row>
    <row r="119" spans="1:42" ht="15" x14ac:dyDescent="0.25">
      <c r="A119" s="26"/>
      <c r="B119" s="26"/>
      <c r="C119" s="26"/>
      <c r="AG119" s="26"/>
      <c r="AP119" s="27"/>
    </row>
    <row r="120" spans="1:42" ht="15" x14ac:dyDescent="0.25">
      <c r="A120" s="26"/>
      <c r="B120" s="26"/>
      <c r="C120" s="26"/>
      <c r="AG120" s="26"/>
      <c r="AP120" s="27"/>
    </row>
    <row r="121" spans="1:42" ht="15" x14ac:dyDescent="0.25">
      <c r="A121" s="26"/>
      <c r="B121" s="26"/>
      <c r="C121" s="26"/>
      <c r="AG121" s="26"/>
      <c r="AP121" s="27"/>
    </row>
    <row r="122" spans="1:42" ht="15" x14ac:dyDescent="0.25">
      <c r="A122" s="26"/>
      <c r="B122" s="26"/>
      <c r="C122" s="26"/>
      <c r="AG122" s="26"/>
      <c r="AP122" s="27"/>
    </row>
    <row r="123" spans="1:42" ht="15" x14ac:dyDescent="0.25">
      <c r="A123" s="26"/>
      <c r="B123" s="26"/>
      <c r="C123" s="26"/>
      <c r="AG123" s="26"/>
      <c r="AP123" s="27"/>
    </row>
    <row r="124" spans="1:42" ht="15" x14ac:dyDescent="0.25">
      <c r="A124" s="26"/>
      <c r="B124" s="26"/>
      <c r="C124" s="26"/>
      <c r="AG124" s="26"/>
      <c r="AP124" s="27"/>
    </row>
    <row r="125" spans="1:42" ht="15" x14ac:dyDescent="0.25">
      <c r="A125" s="26"/>
      <c r="B125" s="26"/>
      <c r="C125" s="26"/>
      <c r="AG125" s="26"/>
      <c r="AP125" s="27"/>
    </row>
    <row r="126" spans="1:42" ht="15" x14ac:dyDescent="0.25">
      <c r="A126" s="26"/>
      <c r="B126" s="26"/>
      <c r="C126" s="26"/>
      <c r="AG126" s="26"/>
      <c r="AP126" s="27"/>
    </row>
    <row r="127" spans="1:42" ht="15" x14ac:dyDescent="0.25">
      <c r="A127" s="26"/>
      <c r="B127" s="26"/>
      <c r="C127" s="26"/>
      <c r="AG127" s="26"/>
      <c r="AP127" s="27"/>
    </row>
    <row r="128" spans="1:42" ht="15" x14ac:dyDescent="0.25">
      <c r="A128" s="26"/>
      <c r="B128" s="26"/>
      <c r="C128" s="26"/>
      <c r="AG128" s="26"/>
      <c r="AP128" s="27"/>
    </row>
    <row r="129" spans="1:43" ht="15" x14ac:dyDescent="0.25">
      <c r="A129" s="26"/>
      <c r="B129" s="26"/>
      <c r="C129" s="26"/>
      <c r="AG129" s="26"/>
      <c r="AP129" s="27"/>
    </row>
    <row r="130" spans="1:43" ht="15" x14ac:dyDescent="0.25">
      <c r="A130" s="26"/>
      <c r="B130" s="26"/>
      <c r="C130" s="26"/>
      <c r="AG130" s="26"/>
      <c r="AP130" s="27"/>
    </row>
    <row r="131" spans="1:43" ht="15" x14ac:dyDescent="0.25">
      <c r="A131" s="26"/>
      <c r="B131" s="26"/>
      <c r="C131" s="26"/>
      <c r="AG131" s="26"/>
      <c r="AP131" s="27"/>
    </row>
    <row r="132" spans="1:43" ht="15" x14ac:dyDescent="0.25">
      <c r="A132" s="26"/>
      <c r="B132" s="26"/>
      <c r="C132" s="26"/>
      <c r="AG132" s="26"/>
      <c r="AP132" s="27"/>
    </row>
    <row r="133" spans="1:43" ht="15" x14ac:dyDescent="0.25">
      <c r="A133" s="26"/>
      <c r="B133" s="26"/>
      <c r="C133" s="26"/>
      <c r="AG133" s="26"/>
      <c r="AH133" s="28"/>
      <c r="AI133" s="28"/>
      <c r="AJ133" s="28"/>
      <c r="AK133" s="28"/>
      <c r="AL133" s="28"/>
      <c r="AM133" s="28"/>
      <c r="AN133" s="28"/>
      <c r="AO133" s="28"/>
      <c r="AP133" s="29"/>
      <c r="AQ133" s="30"/>
    </row>
    <row r="134" spans="1:43" ht="15" x14ac:dyDescent="0.25">
      <c r="A134" s="26"/>
      <c r="B134" s="26"/>
      <c r="C134" s="26"/>
      <c r="AG134" s="26"/>
      <c r="AP134" s="27"/>
    </row>
    <row r="135" spans="1:43" ht="15" x14ac:dyDescent="0.25">
      <c r="A135" s="26"/>
      <c r="B135" s="26"/>
      <c r="C135" s="26"/>
      <c r="AG135" s="26"/>
      <c r="AP135" s="27"/>
    </row>
    <row r="136" spans="1:43" ht="15" x14ac:dyDescent="0.25">
      <c r="A136" s="26"/>
      <c r="B136" s="26"/>
      <c r="C136" s="26"/>
      <c r="AG136" s="26"/>
      <c r="AP136" s="27"/>
    </row>
    <row r="137" spans="1:43" ht="15" x14ac:dyDescent="0.25">
      <c r="A137" s="26"/>
      <c r="B137" s="26"/>
      <c r="C137" s="26"/>
      <c r="AG137" s="26"/>
      <c r="AP137" s="27"/>
    </row>
    <row r="138" spans="1:43" ht="15" x14ac:dyDescent="0.25">
      <c r="A138" s="26"/>
      <c r="B138" s="26"/>
      <c r="C138" s="26"/>
      <c r="AG138" s="26"/>
      <c r="AP138" s="27"/>
    </row>
    <row r="139" spans="1:43" ht="15" x14ac:dyDescent="0.25">
      <c r="A139" s="26"/>
      <c r="B139" s="26"/>
      <c r="C139" s="26"/>
      <c r="AG139" s="26"/>
      <c r="AP139" s="27"/>
    </row>
    <row r="140" spans="1:43" ht="15" x14ac:dyDescent="0.25">
      <c r="A140" s="26"/>
      <c r="B140" s="26"/>
      <c r="C140" s="26"/>
      <c r="AG140" s="26"/>
      <c r="AP140" s="27"/>
    </row>
    <row r="141" spans="1:43" ht="15" x14ac:dyDescent="0.25">
      <c r="A141" s="26"/>
      <c r="B141" s="26"/>
      <c r="C141" s="26"/>
      <c r="AG141" s="26"/>
      <c r="AP141" s="27"/>
    </row>
    <row r="142" spans="1:43" ht="15" x14ac:dyDescent="0.25">
      <c r="A142" s="26"/>
      <c r="B142" s="26"/>
      <c r="C142" s="26"/>
      <c r="AG142" s="26"/>
      <c r="AP142" s="27"/>
    </row>
    <row r="143" spans="1:43" ht="15" x14ac:dyDescent="0.25">
      <c r="A143" s="26"/>
      <c r="B143" s="26"/>
      <c r="C143" s="26"/>
      <c r="AG143" s="26"/>
      <c r="AP143" s="27"/>
    </row>
    <row r="144" spans="1:43" ht="15" x14ac:dyDescent="0.25">
      <c r="A144" s="26"/>
      <c r="B144" s="26"/>
      <c r="C144" s="26"/>
      <c r="AG144" s="26"/>
      <c r="AP144" s="27"/>
    </row>
    <row r="145" spans="1:42" ht="15" x14ac:dyDescent="0.25">
      <c r="A145" s="26"/>
      <c r="B145" s="26"/>
      <c r="C145" s="26"/>
      <c r="AG145" s="26"/>
      <c r="AP145" s="27"/>
    </row>
    <row r="146" spans="1:42" ht="15" x14ac:dyDescent="0.25">
      <c r="A146" s="26"/>
      <c r="B146" s="26"/>
      <c r="C146" s="26"/>
      <c r="AG146" s="26"/>
      <c r="AP146" s="27"/>
    </row>
    <row r="147" spans="1:42" ht="15" x14ac:dyDescent="0.25">
      <c r="A147" s="26"/>
      <c r="B147" s="26"/>
      <c r="C147" s="26"/>
      <c r="AG147" s="26"/>
      <c r="AP147" s="27"/>
    </row>
    <row r="148" spans="1:42" ht="15" x14ac:dyDescent="0.25">
      <c r="A148" s="26"/>
      <c r="B148" s="26"/>
      <c r="C148" s="26"/>
      <c r="AG148" s="26"/>
      <c r="AP148" s="27"/>
    </row>
    <row r="149" spans="1:42" ht="15" x14ac:dyDescent="0.25">
      <c r="A149" s="26"/>
      <c r="B149" s="26"/>
      <c r="C149" s="26"/>
      <c r="AG149" s="26"/>
      <c r="AP149" s="27"/>
    </row>
    <row r="150" spans="1:42" ht="15" x14ac:dyDescent="0.25">
      <c r="A150" s="26"/>
      <c r="B150" s="26"/>
      <c r="C150" s="26"/>
      <c r="AG150" s="26"/>
      <c r="AP150" s="27"/>
    </row>
    <row r="151" spans="1:42" ht="15" x14ac:dyDescent="0.25">
      <c r="A151" s="26"/>
      <c r="B151" s="26"/>
      <c r="C151" s="26"/>
      <c r="AG151" s="26"/>
      <c r="AP151" s="27"/>
    </row>
    <row r="152" spans="1:42" ht="15" x14ac:dyDescent="0.25">
      <c r="A152" s="26"/>
      <c r="B152" s="26"/>
      <c r="C152" s="26"/>
      <c r="AG152" s="26"/>
      <c r="AP152" s="27"/>
    </row>
    <row r="153" spans="1:42" ht="15" x14ac:dyDescent="0.25">
      <c r="A153" s="26"/>
      <c r="B153" s="26"/>
      <c r="C153" s="26"/>
      <c r="AG153" s="26"/>
      <c r="AP153" s="27"/>
    </row>
    <row r="154" spans="1:42" ht="15" x14ac:dyDescent="0.25">
      <c r="A154" s="26"/>
      <c r="B154" s="26"/>
      <c r="C154" s="26"/>
      <c r="AG154" s="26"/>
      <c r="AP154" s="27"/>
    </row>
    <row r="155" spans="1:42" ht="15" x14ac:dyDescent="0.25">
      <c r="A155" s="26"/>
      <c r="B155" s="26"/>
      <c r="C155" s="26"/>
      <c r="AG155" s="26"/>
      <c r="AP155" s="27"/>
    </row>
    <row r="156" spans="1:42" ht="15" x14ac:dyDescent="0.25">
      <c r="A156" s="26"/>
      <c r="B156" s="26"/>
      <c r="C156" s="26"/>
      <c r="AG156" s="26"/>
      <c r="AP156" s="27"/>
    </row>
    <row r="157" spans="1:42" ht="15" x14ac:dyDescent="0.25">
      <c r="A157" s="26"/>
      <c r="B157" s="26"/>
      <c r="C157" s="26"/>
      <c r="AG157" s="26"/>
      <c r="AP157" s="27"/>
    </row>
    <row r="158" spans="1:42" ht="15" x14ac:dyDescent="0.25">
      <c r="A158" s="26"/>
      <c r="B158" s="26"/>
      <c r="C158" s="26"/>
      <c r="AG158" s="26"/>
      <c r="AP158" s="27"/>
    </row>
    <row r="159" spans="1:42" ht="15" x14ac:dyDescent="0.25">
      <c r="A159" s="26"/>
      <c r="B159" s="26"/>
      <c r="C159" s="26"/>
      <c r="AG159" s="26"/>
      <c r="AP159" s="27"/>
    </row>
    <row r="160" spans="1:42" ht="15" x14ac:dyDescent="0.25">
      <c r="A160" s="26"/>
      <c r="B160" s="26"/>
      <c r="C160" s="26"/>
      <c r="AG160" s="26"/>
      <c r="AP160" s="27"/>
    </row>
    <row r="161" spans="1:43" ht="15" x14ac:dyDescent="0.25">
      <c r="A161" s="26"/>
      <c r="B161" s="26"/>
      <c r="C161" s="26"/>
      <c r="AG161" s="26"/>
      <c r="AP161" s="27"/>
    </row>
    <row r="162" spans="1:43" ht="15" x14ac:dyDescent="0.25">
      <c r="A162" s="26"/>
      <c r="B162" s="26"/>
      <c r="C162" s="26"/>
      <c r="AG162" s="26"/>
      <c r="AP162" s="27"/>
    </row>
    <row r="163" spans="1:43" ht="15" x14ac:dyDescent="0.25">
      <c r="A163" s="26"/>
      <c r="B163" s="26"/>
      <c r="C163" s="26"/>
      <c r="AG163" s="26"/>
      <c r="AP163" s="27"/>
    </row>
    <row r="164" spans="1:43" ht="15" x14ac:dyDescent="0.25">
      <c r="A164" s="26"/>
      <c r="B164" s="26"/>
      <c r="C164" s="26"/>
      <c r="AG164" s="26"/>
      <c r="AP164" s="27"/>
    </row>
    <row r="165" spans="1:43" ht="15" x14ac:dyDescent="0.25">
      <c r="A165" s="26"/>
      <c r="B165" s="26"/>
      <c r="C165" s="26"/>
      <c r="AG165" s="26"/>
      <c r="AP165" s="27"/>
    </row>
    <row r="166" spans="1:43" ht="15" x14ac:dyDescent="0.25">
      <c r="A166" s="26"/>
      <c r="B166" s="26"/>
      <c r="C166" s="26"/>
      <c r="AG166" s="26"/>
      <c r="AP166" s="27"/>
    </row>
    <row r="167" spans="1:43" ht="15" x14ac:dyDescent="0.25">
      <c r="A167" s="26"/>
      <c r="B167" s="26"/>
      <c r="C167" s="26"/>
      <c r="AG167" s="26"/>
      <c r="AP167" s="27"/>
    </row>
    <row r="168" spans="1:43" ht="15" x14ac:dyDescent="0.25">
      <c r="A168" s="26"/>
      <c r="B168" s="26"/>
      <c r="C168" s="26"/>
      <c r="AG168" s="26"/>
      <c r="AP168" s="27"/>
    </row>
    <row r="169" spans="1:43" ht="15" x14ac:dyDescent="0.25">
      <c r="A169" s="26"/>
      <c r="B169" s="26"/>
      <c r="C169" s="26"/>
      <c r="AG169" s="26"/>
      <c r="AP169" s="27"/>
    </row>
    <row r="170" spans="1:43" ht="15" x14ac:dyDescent="0.25">
      <c r="A170" s="26"/>
      <c r="B170" s="26"/>
      <c r="C170" s="26"/>
      <c r="AG170" s="26"/>
      <c r="AP170" s="27"/>
    </row>
    <row r="171" spans="1:43" ht="15" x14ac:dyDescent="0.25">
      <c r="A171" s="26"/>
      <c r="B171" s="26"/>
      <c r="C171" s="26"/>
      <c r="AG171" s="26"/>
      <c r="AP171" s="27"/>
    </row>
    <row r="172" spans="1:43" ht="15" x14ac:dyDescent="0.25">
      <c r="A172" s="26"/>
      <c r="B172" s="26"/>
      <c r="C172" s="26"/>
      <c r="AG172" s="26"/>
      <c r="AP172" s="27"/>
    </row>
    <row r="173" spans="1:43" ht="15" x14ac:dyDescent="0.25">
      <c r="A173" s="26"/>
      <c r="B173" s="26"/>
      <c r="C173" s="26"/>
      <c r="AG173" s="26"/>
      <c r="AH173" s="28"/>
      <c r="AI173" s="28"/>
      <c r="AJ173" s="28"/>
      <c r="AK173" s="28"/>
      <c r="AL173" s="28"/>
      <c r="AM173" s="28"/>
      <c r="AN173" s="28"/>
      <c r="AO173" s="28"/>
      <c r="AP173" s="29"/>
      <c r="AQ173" s="30"/>
    </row>
    <row r="174" spans="1:43" ht="15" x14ac:dyDescent="0.25">
      <c r="A174" s="26"/>
      <c r="B174" s="26"/>
      <c r="C174" s="26"/>
      <c r="AG174" s="26"/>
      <c r="AP174" s="27"/>
    </row>
    <row r="175" spans="1:43" ht="15" x14ac:dyDescent="0.25">
      <c r="A175" s="26"/>
      <c r="B175" s="26"/>
      <c r="C175" s="26"/>
      <c r="AG175" s="26"/>
      <c r="AP175" s="27"/>
    </row>
    <row r="176" spans="1:43" ht="15" x14ac:dyDescent="0.25">
      <c r="A176" s="26"/>
      <c r="B176" s="26"/>
      <c r="C176" s="26"/>
      <c r="AG176" s="26"/>
      <c r="AP176" s="27"/>
    </row>
    <row r="177" spans="1:42" ht="15" x14ac:dyDescent="0.25">
      <c r="A177" s="26"/>
      <c r="B177" s="26"/>
      <c r="C177" s="26"/>
      <c r="AG177" s="26"/>
      <c r="AP177" s="27"/>
    </row>
    <row r="178" spans="1:42" ht="15" x14ac:dyDescent="0.25">
      <c r="A178" s="26"/>
      <c r="B178" s="26"/>
      <c r="C178" s="26"/>
      <c r="AG178" s="26"/>
      <c r="AP178" s="27"/>
    </row>
    <row r="179" spans="1:42" ht="15" x14ac:dyDescent="0.25">
      <c r="A179" s="26"/>
      <c r="B179" s="26"/>
      <c r="C179" s="26"/>
      <c r="AG179" s="26"/>
      <c r="AP179" s="27"/>
    </row>
    <row r="180" spans="1:42" ht="15" x14ac:dyDescent="0.25">
      <c r="A180" s="26"/>
      <c r="B180" s="26"/>
      <c r="C180" s="26"/>
      <c r="AG180" s="26"/>
      <c r="AP180" s="27"/>
    </row>
    <row r="181" spans="1:42" ht="15" x14ac:dyDescent="0.25">
      <c r="A181" s="26"/>
      <c r="B181" s="26"/>
      <c r="C181" s="26"/>
      <c r="AG181" s="26"/>
      <c r="AP181" s="27"/>
    </row>
    <row r="182" spans="1:42" ht="15" x14ac:dyDescent="0.25">
      <c r="A182" s="26"/>
      <c r="B182" s="26"/>
      <c r="C182" s="26"/>
      <c r="AG182" s="26"/>
      <c r="AP182" s="27"/>
    </row>
    <row r="183" spans="1:42" ht="15" x14ac:dyDescent="0.25">
      <c r="A183" s="26"/>
      <c r="B183" s="26"/>
      <c r="C183" s="26"/>
      <c r="AG183" s="26"/>
      <c r="AP183" s="27"/>
    </row>
    <row r="184" spans="1:42" ht="15" x14ac:dyDescent="0.25">
      <c r="A184" s="26"/>
      <c r="B184" s="26"/>
      <c r="C184" s="26"/>
      <c r="AG184" s="26"/>
      <c r="AP184" s="27"/>
    </row>
    <row r="185" spans="1:42" ht="15" x14ac:dyDescent="0.25">
      <c r="A185" s="26"/>
      <c r="B185" s="26"/>
      <c r="C185" s="26"/>
      <c r="AG185" s="26"/>
      <c r="AP185" s="27"/>
    </row>
    <row r="186" spans="1:42" ht="15" x14ac:dyDescent="0.25">
      <c r="A186" s="26"/>
      <c r="B186" s="26"/>
      <c r="C186" s="26"/>
      <c r="AG186" s="26"/>
      <c r="AP186" s="27"/>
    </row>
    <row r="187" spans="1:42" ht="15" x14ac:dyDescent="0.25">
      <c r="A187" s="26"/>
      <c r="B187" s="26"/>
      <c r="C187" s="26"/>
      <c r="AG187" s="26"/>
      <c r="AP187" s="27"/>
    </row>
    <row r="188" spans="1:42" ht="15" x14ac:dyDescent="0.25">
      <c r="A188" s="26"/>
      <c r="B188" s="26"/>
      <c r="C188" s="26"/>
      <c r="AG188" s="26"/>
      <c r="AP188" s="27"/>
    </row>
    <row r="189" spans="1:42" ht="15" x14ac:dyDescent="0.25">
      <c r="A189" s="26"/>
      <c r="B189" s="26"/>
      <c r="C189" s="26"/>
      <c r="AG189" s="26"/>
      <c r="AP189" s="27"/>
    </row>
    <row r="190" spans="1:42" ht="15" x14ac:dyDescent="0.25">
      <c r="A190" s="26"/>
      <c r="B190" s="26"/>
      <c r="C190" s="26"/>
      <c r="AG190" s="26"/>
      <c r="AP190" s="27"/>
    </row>
    <row r="191" spans="1:42" ht="15" x14ac:dyDescent="0.25">
      <c r="A191" s="26"/>
      <c r="B191" s="26"/>
      <c r="C191" s="26"/>
      <c r="AG191" s="26"/>
      <c r="AP191" s="27"/>
    </row>
    <row r="192" spans="1:42" ht="15" x14ac:dyDescent="0.25">
      <c r="A192" s="26"/>
      <c r="B192" s="26"/>
      <c r="C192" s="26"/>
      <c r="AG192" s="26"/>
      <c r="AP192" s="27"/>
    </row>
    <row r="193" spans="1:42" ht="15" x14ac:dyDescent="0.25">
      <c r="A193" s="26"/>
      <c r="B193" s="26"/>
      <c r="C193" s="26"/>
      <c r="AG193" s="26"/>
      <c r="AP193" s="27"/>
    </row>
    <row r="194" spans="1:42" ht="15" x14ac:dyDescent="0.25">
      <c r="A194" s="26"/>
      <c r="B194" s="26"/>
      <c r="C194" s="26"/>
      <c r="AG194" s="26"/>
      <c r="AP194" s="27"/>
    </row>
    <row r="195" spans="1:42" ht="15" x14ac:dyDescent="0.25">
      <c r="A195" s="26"/>
      <c r="B195" s="26"/>
      <c r="C195" s="26"/>
      <c r="AG195" s="26"/>
      <c r="AP195" s="27"/>
    </row>
    <row r="196" spans="1:42" ht="15" x14ac:dyDescent="0.25">
      <c r="A196" s="26"/>
      <c r="B196" s="26"/>
      <c r="C196" s="26"/>
      <c r="AG196" s="26"/>
      <c r="AP196" s="27"/>
    </row>
    <row r="197" spans="1:42" ht="15" x14ac:dyDescent="0.25">
      <c r="A197" s="26"/>
      <c r="B197" s="26"/>
      <c r="C197" s="26"/>
      <c r="AG197" s="26"/>
      <c r="AP197" s="27"/>
    </row>
    <row r="198" spans="1:42" ht="15" x14ac:dyDescent="0.25">
      <c r="A198" s="26"/>
      <c r="B198" s="26"/>
      <c r="C198" s="26"/>
      <c r="AG198" s="26"/>
      <c r="AP198" s="27"/>
    </row>
    <row r="199" spans="1:42" ht="15" x14ac:dyDescent="0.25">
      <c r="A199" s="26"/>
      <c r="B199" s="26"/>
      <c r="C199" s="26"/>
      <c r="AG199" s="26"/>
      <c r="AP199" s="27"/>
    </row>
    <row r="200" spans="1:42" ht="15" x14ac:dyDescent="0.25">
      <c r="A200" s="26"/>
      <c r="B200" s="26"/>
      <c r="C200" s="26"/>
      <c r="AG200" s="26"/>
      <c r="AP200" s="27"/>
    </row>
    <row r="201" spans="1:42" ht="15" x14ac:dyDescent="0.25">
      <c r="A201" s="26"/>
      <c r="B201" s="26"/>
      <c r="C201" s="26"/>
      <c r="AG201" s="26"/>
      <c r="AP201" s="27"/>
    </row>
    <row r="202" spans="1:42" ht="15" x14ac:dyDescent="0.25">
      <c r="A202" s="26"/>
      <c r="B202" s="26"/>
      <c r="C202" s="26"/>
      <c r="AG202" s="26"/>
      <c r="AP202" s="27"/>
    </row>
    <row r="203" spans="1:42" ht="15" x14ac:dyDescent="0.25">
      <c r="A203" s="26"/>
      <c r="B203" s="26"/>
      <c r="C203" s="26"/>
      <c r="AG203" s="26"/>
      <c r="AP203" s="27"/>
    </row>
    <row r="204" spans="1:42" ht="15" x14ac:dyDescent="0.25">
      <c r="A204" s="26"/>
      <c r="B204" s="26"/>
      <c r="C204" s="26"/>
      <c r="AG204" s="26"/>
      <c r="AP204" s="27"/>
    </row>
    <row r="205" spans="1:42" ht="15" x14ac:dyDescent="0.25">
      <c r="A205" s="26"/>
      <c r="B205" s="26"/>
      <c r="C205" s="26"/>
      <c r="AG205" s="26"/>
      <c r="AP205" s="27"/>
    </row>
    <row r="206" spans="1:42" ht="15" x14ac:dyDescent="0.25">
      <c r="A206" s="26"/>
      <c r="B206" s="26"/>
      <c r="C206" s="26"/>
      <c r="AG206" s="26"/>
      <c r="AP206" s="27"/>
    </row>
    <row r="207" spans="1:42" ht="15" x14ac:dyDescent="0.25">
      <c r="A207" s="26"/>
      <c r="B207" s="26"/>
      <c r="C207" s="26"/>
      <c r="AG207" s="26"/>
      <c r="AP207" s="27"/>
    </row>
    <row r="208" spans="1:42" ht="15" x14ac:dyDescent="0.25">
      <c r="A208" s="26"/>
      <c r="B208" s="26"/>
      <c r="C208" s="26"/>
      <c r="AG208" s="26"/>
      <c r="AP208" s="27"/>
    </row>
    <row r="209" spans="1:43" ht="15" x14ac:dyDescent="0.25">
      <c r="A209" s="26"/>
      <c r="B209" s="26"/>
      <c r="C209" s="26"/>
      <c r="AG209" s="26"/>
      <c r="AP209" s="27"/>
    </row>
    <row r="210" spans="1:43" ht="15" x14ac:dyDescent="0.25">
      <c r="A210" s="26"/>
      <c r="B210" s="26"/>
      <c r="C210" s="26"/>
      <c r="AG210" s="26"/>
      <c r="AH210" s="28"/>
      <c r="AI210" s="28"/>
      <c r="AJ210" s="28"/>
      <c r="AK210" s="28"/>
      <c r="AL210" s="28"/>
      <c r="AM210" s="28"/>
      <c r="AN210" s="28"/>
      <c r="AO210" s="28"/>
      <c r="AP210" s="29"/>
      <c r="AQ210" s="30"/>
    </row>
    <row r="211" spans="1:43" ht="15" x14ac:dyDescent="0.25">
      <c r="A211" s="26"/>
      <c r="B211" s="26"/>
      <c r="C211" s="26"/>
      <c r="AG211" s="26"/>
      <c r="AP211" s="27"/>
    </row>
    <row r="212" spans="1:43" ht="15" x14ac:dyDescent="0.25">
      <c r="A212" s="26"/>
      <c r="B212" s="26"/>
      <c r="C212" s="26"/>
      <c r="AG212" s="26"/>
      <c r="AP212" s="27"/>
    </row>
    <row r="213" spans="1:43" ht="15" x14ac:dyDescent="0.25">
      <c r="A213" s="26"/>
      <c r="B213" s="26"/>
      <c r="C213" s="26"/>
      <c r="AG213" s="26"/>
      <c r="AP213" s="27"/>
    </row>
    <row r="214" spans="1:43" ht="15" x14ac:dyDescent="0.25">
      <c r="A214" s="26"/>
      <c r="B214" s="26"/>
      <c r="C214" s="26"/>
      <c r="AG214" s="26"/>
      <c r="AP214" s="27"/>
    </row>
    <row r="215" spans="1:43" ht="15" x14ac:dyDescent="0.25">
      <c r="A215" s="26"/>
      <c r="B215" s="26"/>
      <c r="C215" s="26"/>
      <c r="AG215" s="26"/>
      <c r="AP215" s="27"/>
    </row>
    <row r="216" spans="1:43" ht="15" x14ac:dyDescent="0.25">
      <c r="A216" s="26"/>
      <c r="B216" s="26"/>
      <c r="C216" s="26"/>
      <c r="AG216" s="26"/>
      <c r="AP216" s="27"/>
    </row>
    <row r="217" spans="1:43" ht="15" x14ac:dyDescent="0.25">
      <c r="A217" s="26"/>
      <c r="B217" s="26"/>
      <c r="C217" s="26"/>
      <c r="AG217" s="26"/>
      <c r="AP217" s="27"/>
    </row>
    <row r="218" spans="1:43" ht="15" x14ac:dyDescent="0.25">
      <c r="A218" s="26"/>
      <c r="B218" s="26"/>
      <c r="C218" s="26"/>
      <c r="AG218" s="26"/>
      <c r="AP218" s="27"/>
    </row>
    <row r="219" spans="1:43" ht="15" x14ac:dyDescent="0.25">
      <c r="A219" s="26"/>
      <c r="B219" s="26"/>
      <c r="C219" s="26"/>
      <c r="AG219" s="26"/>
      <c r="AP219" s="27"/>
    </row>
    <row r="220" spans="1:43" ht="15" x14ac:dyDescent="0.25">
      <c r="A220" s="26"/>
      <c r="B220" s="26"/>
      <c r="C220" s="26"/>
      <c r="AG220" s="26"/>
      <c r="AP220" s="27"/>
    </row>
    <row r="221" spans="1:43" ht="15" x14ac:dyDescent="0.25">
      <c r="A221" s="26"/>
      <c r="B221" s="26"/>
      <c r="C221" s="26"/>
      <c r="AG221" s="26"/>
      <c r="AP221" s="27"/>
    </row>
    <row r="222" spans="1:43" ht="15" x14ac:dyDescent="0.25">
      <c r="A222" s="26"/>
      <c r="B222" s="26"/>
      <c r="C222" s="26"/>
      <c r="AG222" s="26"/>
      <c r="AP222" s="27"/>
    </row>
    <row r="223" spans="1:43" ht="15" x14ac:dyDescent="0.25">
      <c r="A223" s="26"/>
      <c r="B223" s="26"/>
      <c r="C223" s="26"/>
      <c r="AG223" s="26"/>
      <c r="AP223" s="27"/>
    </row>
    <row r="224" spans="1:43" ht="15" x14ac:dyDescent="0.25">
      <c r="A224" s="26"/>
      <c r="B224" s="26"/>
      <c r="C224" s="26"/>
      <c r="AG224" s="26"/>
      <c r="AP224" s="27"/>
    </row>
    <row r="225" spans="1:42" ht="15" x14ac:dyDescent="0.25">
      <c r="A225" s="26"/>
      <c r="B225" s="26"/>
      <c r="C225" s="26"/>
      <c r="AG225" s="26"/>
      <c r="AP225" s="27"/>
    </row>
    <row r="226" spans="1:42" ht="15" x14ac:dyDescent="0.25">
      <c r="A226" s="26"/>
      <c r="B226" s="26"/>
      <c r="C226" s="26"/>
      <c r="AG226" s="26"/>
      <c r="AP226" s="27"/>
    </row>
    <row r="227" spans="1:42" ht="15" x14ac:dyDescent="0.25">
      <c r="A227" s="26"/>
      <c r="B227" s="26"/>
      <c r="C227" s="26"/>
      <c r="AG227" s="26"/>
      <c r="AP227" s="27"/>
    </row>
    <row r="228" spans="1:42" ht="15" x14ac:dyDescent="0.25">
      <c r="A228" s="26"/>
      <c r="B228" s="26"/>
      <c r="C228" s="26"/>
      <c r="AG228" s="26"/>
      <c r="AP228" s="27"/>
    </row>
    <row r="229" spans="1:42" ht="15" x14ac:dyDescent="0.25">
      <c r="A229" s="26"/>
      <c r="B229" s="26"/>
      <c r="C229" s="26"/>
      <c r="AG229" s="26"/>
      <c r="AP229" s="27"/>
    </row>
    <row r="230" spans="1:42" ht="15" x14ac:dyDescent="0.25">
      <c r="A230" s="26"/>
      <c r="B230" s="26"/>
      <c r="C230" s="26"/>
      <c r="AG230" s="26"/>
      <c r="AP230" s="27"/>
    </row>
    <row r="231" spans="1:42" ht="15" x14ac:dyDescent="0.25">
      <c r="A231" s="26"/>
      <c r="B231" s="26"/>
      <c r="C231" s="26"/>
      <c r="AG231" s="26"/>
      <c r="AP231" s="27"/>
    </row>
    <row r="232" spans="1:42" ht="15" x14ac:dyDescent="0.25">
      <c r="A232" s="26"/>
      <c r="B232" s="26"/>
      <c r="C232" s="26"/>
      <c r="AG232" s="26"/>
      <c r="AP232" s="27"/>
    </row>
    <row r="233" spans="1:42" ht="15" x14ac:dyDescent="0.25">
      <c r="A233" s="26"/>
      <c r="B233" s="26"/>
      <c r="C233" s="26"/>
      <c r="AG233" s="26"/>
      <c r="AP233" s="27"/>
    </row>
    <row r="234" spans="1:42" ht="15" x14ac:dyDescent="0.25">
      <c r="A234" s="26"/>
      <c r="B234" s="26"/>
      <c r="C234" s="26"/>
      <c r="AG234" s="26"/>
      <c r="AP234" s="27"/>
    </row>
    <row r="235" spans="1:42" ht="15" x14ac:dyDescent="0.25">
      <c r="A235" s="26"/>
      <c r="B235" s="26"/>
      <c r="C235" s="26"/>
      <c r="AG235" s="26"/>
      <c r="AP235" s="27"/>
    </row>
    <row r="236" spans="1:42" ht="15" x14ac:dyDescent="0.25">
      <c r="A236" s="26"/>
      <c r="B236" s="26"/>
      <c r="C236" s="26"/>
      <c r="AG236" s="26"/>
      <c r="AP236" s="27"/>
    </row>
    <row r="237" spans="1:42" ht="15" x14ac:dyDescent="0.25">
      <c r="A237" s="26"/>
      <c r="B237" s="26"/>
      <c r="C237" s="26"/>
      <c r="AG237" s="26"/>
      <c r="AP237" s="27"/>
    </row>
    <row r="238" spans="1:42" ht="15" x14ac:dyDescent="0.25">
      <c r="A238" s="26"/>
      <c r="B238" s="26"/>
      <c r="C238" s="26"/>
      <c r="AG238" s="26"/>
      <c r="AP238" s="27"/>
    </row>
    <row r="239" spans="1:42" ht="15" x14ac:dyDescent="0.25">
      <c r="A239" s="26"/>
      <c r="B239" s="26"/>
      <c r="C239" s="26"/>
      <c r="AG239" s="26"/>
      <c r="AP239" s="27"/>
    </row>
    <row r="240" spans="1:42" ht="15" x14ac:dyDescent="0.25">
      <c r="A240" s="26"/>
      <c r="B240" s="26"/>
      <c r="C240" s="26"/>
      <c r="AG240" s="26"/>
      <c r="AP240" s="27"/>
    </row>
    <row r="241" spans="1:43" ht="15" x14ac:dyDescent="0.25">
      <c r="A241" s="26"/>
      <c r="B241" s="26"/>
      <c r="C241" s="26"/>
      <c r="AG241" s="26"/>
      <c r="AP241" s="27"/>
    </row>
    <row r="242" spans="1:43" ht="15" x14ac:dyDescent="0.25">
      <c r="A242" s="26"/>
      <c r="B242" s="26"/>
      <c r="C242" s="26"/>
      <c r="AG242" s="26"/>
      <c r="AP242" s="27"/>
    </row>
    <row r="243" spans="1:43" ht="15" x14ac:dyDescent="0.25">
      <c r="A243" s="26"/>
      <c r="B243" s="26"/>
      <c r="C243" s="26"/>
      <c r="AG243" s="26"/>
      <c r="AP243" s="27"/>
    </row>
    <row r="244" spans="1:43" ht="15" x14ac:dyDescent="0.25">
      <c r="A244" s="26"/>
      <c r="B244" s="26"/>
      <c r="C244" s="26"/>
      <c r="AG244" s="26"/>
      <c r="AP244" s="27"/>
    </row>
    <row r="245" spans="1:43" ht="15" x14ac:dyDescent="0.25">
      <c r="A245" s="26"/>
      <c r="B245" s="26"/>
      <c r="C245" s="26"/>
      <c r="AG245" s="26"/>
      <c r="AP245" s="27"/>
    </row>
    <row r="246" spans="1:43" ht="15" x14ac:dyDescent="0.25">
      <c r="A246" s="26"/>
      <c r="B246" s="26"/>
      <c r="C246" s="26"/>
      <c r="AG246" s="26"/>
      <c r="AP246" s="27"/>
    </row>
    <row r="247" spans="1:43" ht="15" x14ac:dyDescent="0.25">
      <c r="A247" s="26"/>
      <c r="B247" s="26"/>
      <c r="C247" s="26"/>
      <c r="AG247" s="26"/>
      <c r="AP247" s="27"/>
    </row>
    <row r="248" spans="1:43" ht="15" x14ac:dyDescent="0.25">
      <c r="A248" s="26"/>
      <c r="B248" s="26"/>
      <c r="C248" s="26"/>
      <c r="AG248" s="26"/>
      <c r="AP248" s="27"/>
    </row>
    <row r="249" spans="1:43" ht="15" x14ac:dyDescent="0.25">
      <c r="A249" s="26"/>
      <c r="B249" s="26"/>
      <c r="C249" s="26"/>
      <c r="AG249" s="26"/>
      <c r="AP249" s="27"/>
    </row>
    <row r="250" spans="1:43" ht="15" x14ac:dyDescent="0.25">
      <c r="A250" s="26"/>
      <c r="B250" s="26"/>
      <c r="C250" s="26"/>
      <c r="AG250" s="26"/>
      <c r="AH250" s="28"/>
      <c r="AI250" s="28"/>
      <c r="AJ250" s="28"/>
      <c r="AK250" s="28"/>
      <c r="AL250" s="28"/>
      <c r="AM250" s="28"/>
      <c r="AN250" s="28"/>
      <c r="AO250" s="28"/>
      <c r="AP250" s="29"/>
      <c r="AQ250" s="30"/>
    </row>
    <row r="251" spans="1:43" ht="15" x14ac:dyDescent="0.25">
      <c r="A251" s="26"/>
      <c r="B251" s="26"/>
      <c r="C251" s="26"/>
      <c r="AG251" s="26"/>
      <c r="AP251" s="27"/>
    </row>
    <row r="252" spans="1:43" ht="15" x14ac:dyDescent="0.25">
      <c r="A252" s="26"/>
      <c r="B252" s="26"/>
      <c r="C252" s="26"/>
      <c r="AG252" s="26"/>
      <c r="AP252" s="27"/>
    </row>
    <row r="253" spans="1:43" ht="15" x14ac:dyDescent="0.25">
      <c r="A253" s="26"/>
      <c r="B253" s="26"/>
      <c r="C253" s="26"/>
      <c r="AG253" s="26"/>
      <c r="AP253" s="27"/>
    </row>
    <row r="254" spans="1:43" ht="15" x14ac:dyDescent="0.25">
      <c r="A254" s="26"/>
      <c r="B254" s="26"/>
      <c r="C254" s="26"/>
      <c r="AG254" s="26"/>
      <c r="AP254" s="27"/>
    </row>
    <row r="255" spans="1:43" ht="15" x14ac:dyDescent="0.25">
      <c r="A255" s="26"/>
      <c r="B255" s="26"/>
      <c r="C255" s="26"/>
      <c r="AG255" s="26"/>
      <c r="AP255" s="27"/>
    </row>
    <row r="256" spans="1:43" ht="15" x14ac:dyDescent="0.25">
      <c r="A256" s="26"/>
      <c r="B256" s="26"/>
      <c r="C256" s="26"/>
      <c r="AG256" s="26"/>
      <c r="AP256" s="27"/>
    </row>
    <row r="257" spans="1:42" ht="15" x14ac:dyDescent="0.25">
      <c r="A257" s="26"/>
      <c r="B257" s="26"/>
      <c r="C257" s="26"/>
      <c r="AG257" s="26"/>
      <c r="AP257" s="27"/>
    </row>
    <row r="258" spans="1:42" ht="15" x14ac:dyDescent="0.25">
      <c r="A258" s="26"/>
      <c r="B258" s="26"/>
      <c r="C258" s="26"/>
      <c r="AG258" s="26"/>
      <c r="AP258" s="27"/>
    </row>
    <row r="259" spans="1:42" ht="15" x14ac:dyDescent="0.25">
      <c r="A259" s="26"/>
      <c r="B259" s="26"/>
      <c r="C259" s="26"/>
      <c r="AG259" s="26"/>
      <c r="AP259" s="27"/>
    </row>
    <row r="260" spans="1:42" ht="15" x14ac:dyDescent="0.25">
      <c r="A260" s="26"/>
      <c r="B260" s="26"/>
      <c r="C260" s="26"/>
      <c r="AG260" s="26"/>
      <c r="AP260" s="27"/>
    </row>
    <row r="261" spans="1:42" ht="15" x14ac:dyDescent="0.25">
      <c r="A261" s="26"/>
      <c r="B261" s="26"/>
      <c r="C261" s="26"/>
      <c r="AG261" s="26"/>
      <c r="AP261" s="27"/>
    </row>
    <row r="262" spans="1:42" ht="15" x14ac:dyDescent="0.25">
      <c r="A262" s="26"/>
      <c r="B262" s="26"/>
      <c r="C262" s="26"/>
      <c r="AG262" s="26"/>
      <c r="AP262" s="27"/>
    </row>
    <row r="263" spans="1:42" ht="15" x14ac:dyDescent="0.25">
      <c r="A263" s="26"/>
      <c r="B263" s="26"/>
      <c r="C263" s="26"/>
      <c r="AG263" s="26"/>
      <c r="AP263" s="27"/>
    </row>
    <row r="264" spans="1:42" ht="15" x14ac:dyDescent="0.25">
      <c r="A264" s="26"/>
      <c r="B264" s="26"/>
      <c r="C264" s="26"/>
      <c r="AG264" s="26"/>
      <c r="AP264" s="27"/>
    </row>
    <row r="265" spans="1:42" ht="15" x14ac:dyDescent="0.25">
      <c r="A265" s="26"/>
      <c r="B265" s="26"/>
      <c r="C265" s="26"/>
      <c r="AG265" s="26"/>
      <c r="AP265" s="27"/>
    </row>
    <row r="266" spans="1:42" ht="15" x14ac:dyDescent="0.25">
      <c r="A266" s="26"/>
      <c r="B266" s="26"/>
      <c r="C266" s="26"/>
      <c r="AG266" s="26"/>
      <c r="AP266" s="27"/>
    </row>
    <row r="267" spans="1:42" ht="15" x14ac:dyDescent="0.25">
      <c r="A267" s="26"/>
      <c r="B267" s="26"/>
      <c r="C267" s="26"/>
      <c r="AG267" s="26"/>
      <c r="AP267" s="27"/>
    </row>
    <row r="268" spans="1:42" ht="15" x14ac:dyDescent="0.25">
      <c r="A268" s="26"/>
      <c r="B268" s="26"/>
      <c r="C268" s="26"/>
      <c r="AG268" s="26"/>
      <c r="AP268" s="27"/>
    </row>
    <row r="269" spans="1:42" ht="15" x14ac:dyDescent="0.25">
      <c r="A269" s="26"/>
      <c r="B269" s="26"/>
      <c r="C269" s="26"/>
      <c r="AG269" s="26"/>
      <c r="AP269" s="27"/>
    </row>
    <row r="270" spans="1:42" ht="15" x14ac:dyDescent="0.25">
      <c r="A270" s="26"/>
      <c r="B270" s="26"/>
      <c r="C270" s="26"/>
      <c r="AG270" s="26"/>
      <c r="AP270" s="27"/>
    </row>
    <row r="271" spans="1:42" ht="15" x14ac:dyDescent="0.25">
      <c r="A271" s="26"/>
      <c r="B271" s="26"/>
      <c r="C271" s="26"/>
      <c r="AG271" s="26"/>
      <c r="AP271" s="27"/>
    </row>
    <row r="272" spans="1:42" ht="15" x14ac:dyDescent="0.25">
      <c r="A272" s="26"/>
      <c r="B272" s="26"/>
      <c r="C272" s="26"/>
      <c r="AG272" s="26"/>
      <c r="AP272" s="27"/>
    </row>
    <row r="273" spans="1:43" ht="15" x14ac:dyDescent="0.25">
      <c r="A273" s="26"/>
      <c r="B273" s="26"/>
      <c r="C273" s="26"/>
      <c r="AG273" s="26"/>
      <c r="AP273" s="27"/>
    </row>
    <row r="274" spans="1:43" ht="15" x14ac:dyDescent="0.25">
      <c r="A274" s="26"/>
      <c r="B274" s="26"/>
      <c r="C274" s="26"/>
      <c r="AG274" s="26"/>
      <c r="AH274" s="28"/>
      <c r="AI274" s="28"/>
      <c r="AJ274" s="28"/>
      <c r="AK274" s="28"/>
      <c r="AL274" s="28"/>
      <c r="AM274" s="28"/>
      <c r="AN274" s="28"/>
      <c r="AO274" s="28"/>
      <c r="AP274" s="29"/>
      <c r="AQ274" s="30"/>
    </row>
    <row r="275" spans="1:43" ht="15" x14ac:dyDescent="0.25">
      <c r="A275" s="26"/>
      <c r="B275" s="26"/>
      <c r="C275" s="26"/>
      <c r="AG275" s="26"/>
      <c r="AP275" s="27"/>
    </row>
    <row r="276" spans="1:43" ht="15" x14ac:dyDescent="0.25">
      <c r="A276" s="26"/>
      <c r="B276" s="26"/>
      <c r="C276" s="26"/>
      <c r="AG276" s="26"/>
      <c r="AP276" s="27"/>
    </row>
    <row r="277" spans="1:43" ht="15" x14ac:dyDescent="0.25">
      <c r="A277" s="26"/>
      <c r="B277" s="26"/>
      <c r="C277" s="26"/>
      <c r="AG277" s="26"/>
      <c r="AP277" s="27"/>
    </row>
    <row r="278" spans="1:43" ht="15" x14ac:dyDescent="0.25">
      <c r="A278" s="26"/>
      <c r="B278" s="26"/>
      <c r="C278" s="26"/>
      <c r="AG278" s="26"/>
      <c r="AP278" s="27"/>
    </row>
    <row r="279" spans="1:43" ht="15" x14ac:dyDescent="0.25">
      <c r="A279" s="26"/>
      <c r="B279" s="26"/>
      <c r="C279" s="26"/>
      <c r="AG279" s="26"/>
      <c r="AP279" s="27"/>
    </row>
    <row r="280" spans="1:43" ht="15" x14ac:dyDescent="0.25">
      <c r="A280" s="26"/>
      <c r="B280" s="26"/>
      <c r="C280" s="26"/>
      <c r="AG280" s="26"/>
      <c r="AP280" s="27"/>
    </row>
    <row r="281" spans="1:43" ht="15" x14ac:dyDescent="0.25">
      <c r="A281" s="26"/>
      <c r="B281" s="26"/>
      <c r="C281" s="26"/>
      <c r="AG281" s="26"/>
      <c r="AP281" s="27"/>
    </row>
    <row r="282" spans="1:43" ht="15" x14ac:dyDescent="0.25">
      <c r="A282" s="26"/>
      <c r="B282" s="26"/>
      <c r="C282" s="26"/>
      <c r="AG282" s="26"/>
      <c r="AP282" s="27"/>
    </row>
    <row r="283" spans="1:43" ht="15" x14ac:dyDescent="0.25">
      <c r="A283" s="26"/>
      <c r="B283" s="26"/>
      <c r="C283" s="26"/>
      <c r="AG283" s="26"/>
      <c r="AP283" s="27"/>
    </row>
    <row r="284" spans="1:43" ht="15" x14ac:dyDescent="0.25">
      <c r="A284" s="26"/>
      <c r="B284" s="26"/>
      <c r="C284" s="26"/>
      <c r="AG284" s="26"/>
      <c r="AP284" s="27"/>
    </row>
    <row r="285" spans="1:43" ht="15" x14ac:dyDescent="0.25">
      <c r="A285" s="26"/>
      <c r="B285" s="26"/>
      <c r="C285" s="26"/>
      <c r="AG285" s="26"/>
      <c r="AP285" s="27"/>
    </row>
    <row r="286" spans="1:43" ht="15" x14ac:dyDescent="0.25">
      <c r="A286" s="26"/>
      <c r="B286" s="26"/>
      <c r="C286" s="26"/>
      <c r="AG286" s="26"/>
      <c r="AP286" s="27"/>
    </row>
    <row r="287" spans="1:43" ht="15" x14ac:dyDescent="0.25">
      <c r="A287" s="26"/>
      <c r="B287" s="26"/>
      <c r="C287" s="26"/>
      <c r="AG287" s="26"/>
      <c r="AP287" s="27"/>
    </row>
    <row r="288" spans="1:43" ht="15" x14ac:dyDescent="0.25">
      <c r="A288" s="26"/>
      <c r="B288" s="26"/>
      <c r="C288" s="26"/>
      <c r="AG288" s="26"/>
      <c r="AP288" s="27"/>
    </row>
    <row r="289" spans="1:42" ht="15" x14ac:dyDescent="0.25">
      <c r="A289" s="26"/>
      <c r="B289" s="26"/>
      <c r="C289" s="26"/>
      <c r="AG289" s="26"/>
      <c r="AP289" s="27"/>
    </row>
    <row r="290" spans="1:42" ht="15" x14ac:dyDescent="0.25">
      <c r="A290" s="26"/>
      <c r="B290" s="26"/>
      <c r="C290" s="26"/>
      <c r="AG290" s="26"/>
      <c r="AP290" s="27"/>
    </row>
    <row r="291" spans="1:42" ht="15" x14ac:dyDescent="0.25">
      <c r="A291" s="26"/>
      <c r="B291" s="26"/>
      <c r="C291" s="26"/>
      <c r="AG291" s="26"/>
      <c r="AP291" s="27"/>
    </row>
    <row r="292" spans="1:42" ht="15" x14ac:dyDescent="0.25">
      <c r="A292" s="26"/>
      <c r="B292" s="26"/>
      <c r="C292" s="26"/>
      <c r="AG292" s="26"/>
      <c r="AP292" s="27"/>
    </row>
    <row r="293" spans="1:42" ht="15" x14ac:dyDescent="0.25">
      <c r="A293" s="26"/>
      <c r="B293" s="26"/>
      <c r="C293" s="26"/>
      <c r="AG293" s="26"/>
      <c r="AP293" s="27"/>
    </row>
    <row r="294" spans="1:42" ht="15" x14ac:dyDescent="0.25">
      <c r="A294" s="26"/>
      <c r="B294" s="26"/>
      <c r="C294" s="26"/>
      <c r="AG294" s="26"/>
      <c r="AP294" s="27"/>
    </row>
    <row r="295" spans="1:42" ht="15" x14ac:dyDescent="0.25">
      <c r="A295" s="26"/>
      <c r="B295" s="26"/>
      <c r="C295" s="26"/>
      <c r="AG295" s="26"/>
      <c r="AP295" s="27"/>
    </row>
    <row r="296" spans="1:42" ht="15" x14ac:dyDescent="0.25">
      <c r="A296" s="26"/>
      <c r="B296" s="26"/>
      <c r="C296" s="26"/>
      <c r="AG296" s="26"/>
      <c r="AP296" s="27"/>
    </row>
    <row r="297" spans="1:42" ht="15" x14ac:dyDescent="0.25">
      <c r="A297" s="26"/>
      <c r="B297" s="26"/>
      <c r="C297" s="26"/>
      <c r="AG297" s="26"/>
      <c r="AP297" s="27"/>
    </row>
    <row r="298" spans="1:42" ht="15" x14ac:dyDescent="0.25">
      <c r="A298" s="26"/>
      <c r="B298" s="26"/>
      <c r="C298" s="26"/>
      <c r="AG298" s="26"/>
      <c r="AP298" s="27"/>
    </row>
    <row r="299" spans="1:42" ht="15" x14ac:dyDescent="0.25">
      <c r="A299" s="26"/>
      <c r="B299" s="26"/>
      <c r="C299" s="26"/>
      <c r="AG299" s="26"/>
      <c r="AP299" s="27"/>
    </row>
    <row r="300" spans="1:42" ht="15" x14ac:dyDescent="0.25">
      <c r="A300" s="26"/>
      <c r="B300" s="26"/>
      <c r="C300" s="26"/>
      <c r="AG300" s="26"/>
      <c r="AP300" s="27"/>
    </row>
    <row r="301" spans="1:42" ht="15" x14ac:dyDescent="0.25">
      <c r="A301" s="26"/>
      <c r="B301" s="26"/>
      <c r="C301" s="26"/>
      <c r="AG301" s="26"/>
      <c r="AP301" s="27"/>
    </row>
    <row r="302" spans="1:42" ht="15" x14ac:dyDescent="0.25">
      <c r="A302" s="26"/>
      <c r="B302" s="26"/>
      <c r="C302" s="26"/>
      <c r="AG302" s="26"/>
      <c r="AP302" s="27"/>
    </row>
    <row r="303" spans="1:42" ht="15" x14ac:dyDescent="0.25">
      <c r="A303" s="26"/>
      <c r="B303" s="26"/>
      <c r="C303" s="26"/>
      <c r="AG303" s="26"/>
      <c r="AP303" s="27"/>
    </row>
    <row r="304" spans="1:42" ht="15" x14ac:dyDescent="0.25">
      <c r="A304" s="26"/>
      <c r="B304" s="26"/>
      <c r="C304" s="26"/>
      <c r="AG304" s="26"/>
      <c r="AP304" s="27"/>
    </row>
    <row r="305" spans="1:43" ht="15" x14ac:dyDescent="0.25">
      <c r="A305" s="26"/>
      <c r="B305" s="26"/>
      <c r="C305" s="26"/>
      <c r="AG305" s="26"/>
      <c r="AP305" s="27"/>
    </row>
    <row r="306" spans="1:43" ht="15" x14ac:dyDescent="0.25">
      <c r="A306" s="26"/>
      <c r="B306" s="26"/>
      <c r="C306" s="26"/>
      <c r="AG306" s="26"/>
      <c r="AP306" s="27"/>
    </row>
    <row r="307" spans="1:43" ht="15" x14ac:dyDescent="0.25">
      <c r="A307" s="26"/>
      <c r="B307" s="26"/>
      <c r="C307" s="26"/>
      <c r="AG307" s="26"/>
      <c r="AP307" s="27"/>
    </row>
    <row r="308" spans="1:43" ht="15" x14ac:dyDescent="0.25">
      <c r="A308" s="26"/>
      <c r="B308" s="26"/>
      <c r="C308" s="26"/>
      <c r="AG308" s="26"/>
      <c r="AP308" s="27"/>
    </row>
    <row r="309" spans="1:43" ht="15" x14ac:dyDescent="0.25">
      <c r="A309" s="26"/>
      <c r="B309" s="26"/>
      <c r="C309" s="26"/>
      <c r="AG309" s="26"/>
      <c r="AP309" s="27"/>
    </row>
    <row r="310" spans="1:43" ht="15" x14ac:dyDescent="0.25">
      <c r="A310" s="26"/>
      <c r="B310" s="26"/>
      <c r="C310" s="26"/>
      <c r="AG310" s="26"/>
      <c r="AP310" s="27"/>
    </row>
    <row r="311" spans="1:43" ht="15" x14ac:dyDescent="0.25">
      <c r="A311" s="26"/>
      <c r="B311" s="26"/>
      <c r="C311" s="26"/>
      <c r="AG311" s="26"/>
      <c r="AP311" s="27"/>
    </row>
    <row r="312" spans="1:43" ht="15" x14ac:dyDescent="0.25">
      <c r="A312" s="26"/>
      <c r="B312" s="26"/>
      <c r="C312" s="26"/>
      <c r="AG312" s="26"/>
      <c r="AP312" s="27"/>
    </row>
    <row r="313" spans="1:43" ht="15" x14ac:dyDescent="0.25">
      <c r="A313" s="26"/>
      <c r="B313" s="26"/>
      <c r="C313" s="26"/>
      <c r="AG313" s="26"/>
      <c r="AP313" s="27"/>
    </row>
    <row r="314" spans="1:43" ht="15" x14ac:dyDescent="0.25">
      <c r="A314" s="26"/>
      <c r="B314" s="26"/>
      <c r="C314" s="26"/>
      <c r="AG314" s="26"/>
      <c r="AP314" s="27"/>
    </row>
    <row r="315" spans="1:43" ht="15" x14ac:dyDescent="0.25">
      <c r="A315" s="26"/>
      <c r="B315" s="26"/>
      <c r="C315" s="26"/>
      <c r="AG315" s="26"/>
      <c r="AP315" s="27"/>
    </row>
    <row r="316" spans="1:43" ht="15" x14ac:dyDescent="0.25">
      <c r="A316" s="26"/>
      <c r="B316" s="26"/>
      <c r="C316" s="26"/>
      <c r="AG316" s="26"/>
      <c r="AP316" s="27"/>
    </row>
    <row r="317" spans="1:43" ht="15" x14ac:dyDescent="0.25">
      <c r="A317" s="26"/>
      <c r="B317" s="26"/>
      <c r="C317" s="26"/>
      <c r="AG317" s="26"/>
      <c r="AH317" s="28"/>
      <c r="AI317" s="28"/>
      <c r="AJ317" s="28"/>
      <c r="AK317" s="28"/>
      <c r="AL317" s="28"/>
      <c r="AM317" s="28"/>
      <c r="AN317" s="28"/>
      <c r="AO317" s="28"/>
      <c r="AP317" s="29"/>
      <c r="AQ317" s="30"/>
    </row>
    <row r="318" spans="1:43" ht="15" x14ac:dyDescent="0.25">
      <c r="A318" s="26"/>
      <c r="B318" s="26"/>
      <c r="C318" s="26"/>
      <c r="AG318" s="26"/>
      <c r="AP318" s="27"/>
    </row>
    <row r="319" spans="1:43" ht="15" x14ac:dyDescent="0.25">
      <c r="A319" s="26"/>
      <c r="B319" s="26"/>
      <c r="C319" s="26"/>
      <c r="AG319" s="26"/>
      <c r="AP319" s="27"/>
    </row>
    <row r="320" spans="1:43" ht="15" x14ac:dyDescent="0.25">
      <c r="A320" s="26"/>
      <c r="B320" s="26"/>
      <c r="C320" s="26"/>
      <c r="AG320" s="26"/>
      <c r="AP320" s="27"/>
    </row>
    <row r="321" spans="1:42" ht="15" x14ac:dyDescent="0.25">
      <c r="A321" s="26"/>
      <c r="B321" s="26"/>
      <c r="C321" s="26"/>
      <c r="AG321" s="26"/>
      <c r="AP321" s="27"/>
    </row>
    <row r="322" spans="1:42" ht="15" x14ac:dyDescent="0.25">
      <c r="A322" s="26"/>
      <c r="B322" s="26"/>
      <c r="C322" s="26"/>
      <c r="AG322" s="26"/>
      <c r="AP322" s="27"/>
    </row>
    <row r="323" spans="1:42" ht="15" x14ac:dyDescent="0.25">
      <c r="A323" s="26"/>
      <c r="B323" s="26"/>
      <c r="C323" s="26"/>
      <c r="AG323" s="26"/>
      <c r="AP323" s="27"/>
    </row>
    <row r="324" spans="1:42" ht="15" x14ac:dyDescent="0.25">
      <c r="A324" s="26"/>
      <c r="B324" s="26"/>
      <c r="C324" s="26"/>
      <c r="AG324" s="26"/>
      <c r="AP324" s="27"/>
    </row>
    <row r="325" spans="1:42" ht="15" x14ac:dyDescent="0.25">
      <c r="A325" s="26"/>
      <c r="B325" s="26"/>
      <c r="C325" s="26"/>
      <c r="AG325" s="26"/>
      <c r="AP325" s="27"/>
    </row>
    <row r="326" spans="1:42" ht="15" x14ac:dyDescent="0.25">
      <c r="A326" s="26"/>
      <c r="B326" s="26"/>
      <c r="C326" s="26"/>
      <c r="AG326" s="26"/>
      <c r="AP326" s="27"/>
    </row>
    <row r="327" spans="1:42" ht="15" x14ac:dyDescent="0.25">
      <c r="A327" s="26"/>
      <c r="B327" s="26"/>
      <c r="C327" s="26"/>
      <c r="AG327" s="26"/>
      <c r="AP327" s="27"/>
    </row>
    <row r="328" spans="1:42" ht="15" x14ac:dyDescent="0.25">
      <c r="A328" s="26"/>
      <c r="B328" s="26"/>
      <c r="C328" s="26"/>
      <c r="AG328" s="26"/>
      <c r="AP328" s="27"/>
    </row>
    <row r="329" spans="1:42" ht="15" x14ac:dyDescent="0.25">
      <c r="A329" s="26"/>
      <c r="B329" s="26"/>
      <c r="C329" s="26"/>
      <c r="AG329" s="26"/>
      <c r="AP329" s="27"/>
    </row>
    <row r="330" spans="1:42" ht="15" x14ac:dyDescent="0.25">
      <c r="A330" s="26"/>
      <c r="B330" s="26"/>
      <c r="C330" s="26"/>
      <c r="AG330" s="26"/>
      <c r="AP330" s="27"/>
    </row>
    <row r="331" spans="1:42" ht="15" x14ac:dyDescent="0.25">
      <c r="A331" s="26"/>
      <c r="B331" s="26"/>
      <c r="C331" s="26"/>
      <c r="AG331" s="26"/>
      <c r="AP331" s="27"/>
    </row>
    <row r="332" spans="1:42" ht="15" x14ac:dyDescent="0.25">
      <c r="A332" s="26"/>
      <c r="B332" s="26"/>
      <c r="C332" s="26"/>
      <c r="AG332" s="26"/>
      <c r="AP332" s="27"/>
    </row>
    <row r="333" spans="1:42" ht="15" x14ac:dyDescent="0.25">
      <c r="A333" s="26"/>
      <c r="B333" s="26"/>
      <c r="C333" s="26"/>
      <c r="AG333" s="26"/>
      <c r="AP333" s="27"/>
    </row>
    <row r="334" spans="1:42" ht="15" x14ac:dyDescent="0.25">
      <c r="A334" s="26"/>
      <c r="B334" s="26"/>
      <c r="C334" s="26"/>
      <c r="AG334" s="26"/>
      <c r="AP334" s="27"/>
    </row>
    <row r="335" spans="1:42" ht="15" x14ac:dyDescent="0.25">
      <c r="A335" s="26"/>
      <c r="B335" s="26"/>
      <c r="C335" s="26"/>
      <c r="AG335" s="26"/>
      <c r="AP335" s="27"/>
    </row>
    <row r="336" spans="1:42" ht="15" x14ac:dyDescent="0.25">
      <c r="A336" s="26"/>
      <c r="B336" s="26"/>
      <c r="C336" s="26"/>
      <c r="AG336" s="26"/>
      <c r="AP336" s="27"/>
    </row>
    <row r="337" spans="1:42" ht="15" x14ac:dyDescent="0.25">
      <c r="A337" s="26"/>
      <c r="B337" s="26"/>
      <c r="C337" s="26"/>
      <c r="AG337" s="26"/>
      <c r="AP337" s="27"/>
    </row>
    <row r="338" spans="1:42" ht="15" x14ac:dyDescent="0.25">
      <c r="A338" s="26"/>
      <c r="B338" s="26"/>
      <c r="C338" s="26"/>
      <c r="AG338" s="26"/>
      <c r="AP338" s="27"/>
    </row>
    <row r="339" spans="1:42" ht="15" x14ac:dyDescent="0.25">
      <c r="A339" s="26"/>
      <c r="B339" s="26"/>
      <c r="C339" s="26"/>
      <c r="AG339" s="26"/>
      <c r="AP339" s="27"/>
    </row>
    <row r="340" spans="1:42" ht="15" x14ac:dyDescent="0.25">
      <c r="A340" s="26"/>
      <c r="B340" s="26"/>
      <c r="C340" s="26"/>
      <c r="AG340" s="26"/>
      <c r="AP340" s="27"/>
    </row>
    <row r="341" spans="1:42" ht="15" x14ac:dyDescent="0.25">
      <c r="A341" s="26"/>
      <c r="B341" s="26"/>
      <c r="C341" s="26"/>
      <c r="AG341" s="26"/>
      <c r="AP341" s="27"/>
    </row>
    <row r="342" spans="1:42" ht="15" x14ac:dyDescent="0.25">
      <c r="A342" s="26"/>
      <c r="B342" s="26"/>
      <c r="C342" s="26"/>
      <c r="AG342" s="26"/>
      <c r="AP342" s="27"/>
    </row>
    <row r="343" spans="1:42" ht="15" x14ac:dyDescent="0.25">
      <c r="A343" s="26"/>
      <c r="B343" s="26"/>
      <c r="C343" s="26"/>
      <c r="AG343" s="26"/>
      <c r="AP343" s="27"/>
    </row>
    <row r="344" spans="1:42" ht="15" x14ac:dyDescent="0.25">
      <c r="A344" s="26"/>
      <c r="B344" s="26"/>
      <c r="C344" s="26"/>
      <c r="AG344" s="26"/>
      <c r="AP344" s="27"/>
    </row>
    <row r="345" spans="1:42" ht="15" x14ac:dyDescent="0.25">
      <c r="A345" s="26"/>
      <c r="B345" s="26"/>
      <c r="C345" s="26"/>
      <c r="AG345" s="26"/>
      <c r="AP345" s="27"/>
    </row>
    <row r="346" spans="1:42" ht="15" x14ac:dyDescent="0.25">
      <c r="A346" s="26"/>
      <c r="B346" s="26"/>
      <c r="C346" s="26"/>
      <c r="AG346" s="26"/>
      <c r="AP346" s="27"/>
    </row>
    <row r="347" spans="1:42" ht="15" x14ac:dyDescent="0.25">
      <c r="A347" s="26"/>
      <c r="B347" s="26"/>
      <c r="C347" s="26"/>
      <c r="AG347" s="26"/>
      <c r="AP347" s="27"/>
    </row>
    <row r="348" spans="1:42" ht="15" x14ac:dyDescent="0.25">
      <c r="A348" s="26"/>
      <c r="B348" s="26"/>
      <c r="C348" s="26"/>
      <c r="AG348" s="26"/>
      <c r="AP348" s="27"/>
    </row>
    <row r="349" spans="1:42" ht="15" x14ac:dyDescent="0.25">
      <c r="A349" s="26"/>
      <c r="B349" s="26"/>
      <c r="C349" s="26"/>
      <c r="AG349" s="26"/>
      <c r="AP349" s="27"/>
    </row>
    <row r="350" spans="1:42" ht="15" x14ac:dyDescent="0.25">
      <c r="A350" s="26"/>
      <c r="B350" s="26"/>
      <c r="C350" s="26"/>
      <c r="AG350" s="26"/>
      <c r="AP350" s="27"/>
    </row>
    <row r="351" spans="1:42" ht="15" x14ac:dyDescent="0.25">
      <c r="A351" s="26"/>
      <c r="B351" s="26"/>
      <c r="C351" s="26"/>
      <c r="AG351" s="26"/>
      <c r="AP351" s="27"/>
    </row>
    <row r="352" spans="1:42" ht="15" x14ac:dyDescent="0.25">
      <c r="A352" s="26"/>
      <c r="B352" s="26"/>
      <c r="C352" s="26"/>
      <c r="AG352" s="26"/>
      <c r="AP352" s="27"/>
    </row>
    <row r="353" spans="1:43" ht="15" x14ac:dyDescent="0.25">
      <c r="A353" s="26"/>
      <c r="B353" s="26"/>
      <c r="C353" s="26"/>
      <c r="AG353" s="26"/>
      <c r="AP353" s="27"/>
    </row>
    <row r="354" spans="1:43" ht="15" x14ac:dyDescent="0.25">
      <c r="A354" s="26"/>
      <c r="B354" s="26"/>
      <c r="C354" s="26"/>
      <c r="AG354" s="26"/>
      <c r="AP354" s="27"/>
    </row>
    <row r="355" spans="1:43" ht="15" x14ac:dyDescent="0.25">
      <c r="A355" s="26"/>
      <c r="B355" s="26"/>
      <c r="C355" s="26"/>
      <c r="AG355" s="26"/>
      <c r="AH355" s="28"/>
      <c r="AI355" s="28"/>
      <c r="AJ355" s="28"/>
      <c r="AK355" s="28"/>
      <c r="AL355" s="28"/>
      <c r="AM355" s="28"/>
      <c r="AN355" s="28"/>
      <c r="AO355" s="28"/>
      <c r="AP355" s="29"/>
      <c r="AQ355" s="30"/>
    </row>
    <row r="356" spans="1:43" ht="15" x14ac:dyDescent="0.25">
      <c r="A356" s="26"/>
      <c r="B356" s="26"/>
      <c r="C356" s="26"/>
      <c r="AG356" s="26"/>
      <c r="AP356" s="27"/>
    </row>
    <row r="357" spans="1:43" ht="15" x14ac:dyDescent="0.25">
      <c r="A357" s="26"/>
      <c r="B357" s="26"/>
      <c r="C357" s="26"/>
      <c r="AG357" s="26"/>
      <c r="AH357" s="28"/>
      <c r="AI357" s="28"/>
      <c r="AJ357" s="28"/>
      <c r="AK357" s="28"/>
      <c r="AL357" s="28"/>
      <c r="AM357" s="28"/>
      <c r="AN357" s="28"/>
      <c r="AO357" s="28"/>
      <c r="AP357" s="29"/>
      <c r="AQ357" s="30"/>
    </row>
    <row r="358" spans="1:43" ht="15" x14ac:dyDescent="0.25">
      <c r="A358" s="26"/>
      <c r="B358" s="26"/>
      <c r="C358" s="26"/>
      <c r="AG358" s="26"/>
      <c r="AP358" s="27"/>
    </row>
    <row r="359" spans="1:43" ht="15" x14ac:dyDescent="0.25">
      <c r="A359" s="26"/>
      <c r="B359" s="26"/>
      <c r="C359" s="26"/>
      <c r="AG359" s="26"/>
      <c r="AP359" s="27"/>
    </row>
    <row r="360" spans="1:43" ht="15" x14ac:dyDescent="0.25">
      <c r="A360" s="26"/>
      <c r="B360" s="26"/>
      <c r="C360" s="26"/>
      <c r="AG360" s="26"/>
      <c r="AP360" s="27"/>
    </row>
    <row r="361" spans="1:43" ht="15" x14ac:dyDescent="0.25">
      <c r="A361" s="26"/>
      <c r="B361" s="26"/>
      <c r="C361" s="26"/>
      <c r="AG361" s="26"/>
      <c r="AP361" s="27"/>
    </row>
    <row r="362" spans="1:43" ht="15" x14ac:dyDescent="0.25">
      <c r="A362" s="26"/>
      <c r="B362" s="26"/>
      <c r="C362" s="26"/>
      <c r="AG362" s="26"/>
      <c r="AH362" s="28"/>
      <c r="AI362" s="28"/>
      <c r="AJ362" s="28"/>
      <c r="AK362" s="28"/>
      <c r="AL362" s="28"/>
      <c r="AM362" s="28"/>
      <c r="AN362" s="28"/>
      <c r="AO362" s="28"/>
      <c r="AP362" s="29"/>
      <c r="AQ362" s="30"/>
    </row>
    <row r="363" spans="1:43" ht="15" x14ac:dyDescent="0.25">
      <c r="A363" s="26"/>
      <c r="B363" s="26"/>
      <c r="C363" s="26"/>
      <c r="AG363" s="26"/>
      <c r="AP363" s="27"/>
    </row>
    <row r="364" spans="1:43" ht="15" x14ac:dyDescent="0.25">
      <c r="A364" s="26"/>
      <c r="B364" s="26"/>
      <c r="C364" s="26"/>
      <c r="AG364" s="26"/>
      <c r="AP364" s="27"/>
    </row>
    <row r="365" spans="1:43" ht="15" x14ac:dyDescent="0.25">
      <c r="A365" s="26"/>
      <c r="B365" s="26"/>
      <c r="C365" s="26"/>
      <c r="AG365" s="26"/>
      <c r="AP365" s="27"/>
    </row>
    <row r="366" spans="1:43" ht="15" x14ac:dyDescent="0.25">
      <c r="A366" s="26"/>
      <c r="B366" s="26"/>
      <c r="C366" s="26"/>
      <c r="AG366" s="26"/>
      <c r="AP366" s="27"/>
    </row>
    <row r="367" spans="1:43" ht="15" x14ac:dyDescent="0.25">
      <c r="A367" s="26"/>
      <c r="B367" s="26"/>
      <c r="C367" s="26"/>
      <c r="AG367" s="26"/>
      <c r="AP367" s="27"/>
    </row>
    <row r="368" spans="1:43" ht="15" x14ac:dyDescent="0.25">
      <c r="A368" s="26"/>
      <c r="B368" s="26"/>
      <c r="C368" s="26"/>
      <c r="AG368" s="26"/>
      <c r="AP368" s="27"/>
    </row>
    <row r="369" spans="1:43" ht="15" x14ac:dyDescent="0.25">
      <c r="A369" s="26"/>
      <c r="B369" s="26"/>
      <c r="C369" s="26"/>
      <c r="AG369" s="26"/>
      <c r="AP369" s="27"/>
    </row>
    <row r="370" spans="1:43" ht="15" x14ac:dyDescent="0.25">
      <c r="A370" s="26"/>
      <c r="B370" s="26"/>
      <c r="C370" s="26"/>
      <c r="AG370" s="26"/>
      <c r="AH370" s="28"/>
      <c r="AI370" s="28"/>
      <c r="AJ370" s="28"/>
      <c r="AK370" s="28"/>
      <c r="AL370" s="28"/>
      <c r="AM370" s="28"/>
      <c r="AN370" s="28"/>
      <c r="AO370" s="28"/>
      <c r="AP370" s="29"/>
      <c r="AQ370" s="30"/>
    </row>
    <row r="371" spans="1:43" ht="15" x14ac:dyDescent="0.25">
      <c r="A371" s="26"/>
      <c r="B371" s="26"/>
      <c r="C371" s="26"/>
      <c r="AG371" s="26"/>
      <c r="AP371" s="27"/>
    </row>
    <row r="372" spans="1:43" ht="15" x14ac:dyDescent="0.25">
      <c r="A372" s="26"/>
      <c r="B372" s="26"/>
      <c r="C372" s="26"/>
      <c r="AG372" s="26"/>
      <c r="AH372" s="28"/>
      <c r="AI372" s="28"/>
      <c r="AJ372" s="28"/>
      <c r="AK372" s="28"/>
      <c r="AL372" s="28"/>
      <c r="AM372" s="28"/>
      <c r="AN372" s="28"/>
      <c r="AO372" s="28"/>
      <c r="AP372" s="29"/>
      <c r="AQ372" s="30"/>
    </row>
    <row r="373" spans="1:43" ht="15" x14ac:dyDescent="0.25">
      <c r="A373" s="26"/>
      <c r="B373" s="26"/>
      <c r="C373" s="26"/>
      <c r="AG373" s="26"/>
      <c r="AP373" s="27"/>
    </row>
    <row r="374" spans="1:43" ht="15" x14ac:dyDescent="0.25">
      <c r="A374" s="26"/>
      <c r="B374" s="26"/>
      <c r="C374" s="26"/>
      <c r="AG374" s="26"/>
      <c r="AP374" s="27"/>
    </row>
    <row r="375" spans="1:43" ht="15" x14ac:dyDescent="0.25">
      <c r="A375" s="26"/>
      <c r="B375" s="26"/>
      <c r="C375" s="26"/>
      <c r="AG375" s="26"/>
      <c r="AH375" s="28"/>
      <c r="AI375" s="28"/>
      <c r="AJ375" s="28"/>
      <c r="AK375" s="28"/>
      <c r="AL375" s="28"/>
      <c r="AM375" s="28"/>
      <c r="AN375" s="28"/>
      <c r="AO375" s="28"/>
      <c r="AP375" s="29"/>
      <c r="AQ375" s="30"/>
    </row>
    <row r="376" spans="1:43" ht="15" x14ac:dyDescent="0.25">
      <c r="A376" s="26"/>
      <c r="B376" s="26"/>
      <c r="C376" s="26"/>
      <c r="AG376" s="26"/>
      <c r="AP376" s="27"/>
    </row>
    <row r="377" spans="1:43" ht="15" x14ac:dyDescent="0.25">
      <c r="A377" s="26"/>
      <c r="B377" s="26"/>
      <c r="C377" s="26"/>
      <c r="AG377" s="26"/>
      <c r="AH377" s="28"/>
      <c r="AI377" s="28"/>
      <c r="AJ377" s="28"/>
      <c r="AK377" s="28"/>
      <c r="AL377" s="28"/>
      <c r="AM377" s="28"/>
      <c r="AN377" s="28"/>
      <c r="AO377" s="28"/>
      <c r="AP377" s="29"/>
      <c r="AQ377" s="30"/>
    </row>
    <row r="378" spans="1:43" ht="15" x14ac:dyDescent="0.25">
      <c r="A378" s="26"/>
      <c r="B378" s="26"/>
      <c r="C378" s="26"/>
      <c r="AG378" s="26"/>
      <c r="AP378" s="27"/>
    </row>
    <row r="379" spans="1:43" ht="15" x14ac:dyDescent="0.25">
      <c r="A379" s="26"/>
      <c r="B379" s="26"/>
      <c r="C379" s="26"/>
      <c r="AG379" s="26"/>
      <c r="AH379" s="28"/>
      <c r="AI379" s="28"/>
      <c r="AJ379" s="28"/>
      <c r="AK379" s="28"/>
      <c r="AL379" s="28"/>
      <c r="AM379" s="28"/>
      <c r="AN379" s="28"/>
      <c r="AO379" s="28"/>
      <c r="AP379" s="29"/>
      <c r="AQ379" s="30"/>
    </row>
    <row r="380" spans="1:43" ht="15" x14ac:dyDescent="0.25">
      <c r="A380" s="26"/>
      <c r="B380" s="26"/>
      <c r="C380" s="26"/>
      <c r="AG380" s="26"/>
      <c r="AP380" s="27"/>
    </row>
    <row r="381" spans="1:43" ht="15" x14ac:dyDescent="0.25">
      <c r="A381" s="26"/>
      <c r="B381" s="26"/>
      <c r="C381" s="26"/>
      <c r="AG381" s="26"/>
      <c r="AH381" s="28"/>
      <c r="AI381" s="28"/>
      <c r="AJ381" s="28"/>
      <c r="AK381" s="28"/>
      <c r="AL381" s="28"/>
      <c r="AM381" s="28"/>
      <c r="AN381" s="28"/>
      <c r="AO381" s="28"/>
      <c r="AP381" s="29"/>
      <c r="AQ381" s="30"/>
    </row>
    <row r="382" spans="1:43" ht="15" x14ac:dyDescent="0.25">
      <c r="A382" s="26"/>
      <c r="B382" s="26"/>
      <c r="C382" s="26"/>
      <c r="AG382" s="26"/>
      <c r="AP382" s="27"/>
    </row>
    <row r="383" spans="1:43" ht="15" x14ac:dyDescent="0.25">
      <c r="A383" s="26"/>
      <c r="B383" s="26"/>
      <c r="C383" s="26"/>
      <c r="AG383" s="26"/>
      <c r="AP383" s="27"/>
    </row>
    <row r="384" spans="1:43" ht="15" x14ac:dyDescent="0.25">
      <c r="A384" s="26"/>
      <c r="B384" s="26"/>
      <c r="C384" s="26"/>
      <c r="AG384" s="26"/>
      <c r="AP384" s="27"/>
    </row>
    <row r="385" spans="1:43" ht="15" x14ac:dyDescent="0.25">
      <c r="A385" s="26"/>
      <c r="B385" s="26"/>
      <c r="C385" s="26"/>
      <c r="AG385" s="26"/>
      <c r="AP385" s="27"/>
    </row>
    <row r="386" spans="1:43" ht="15" x14ac:dyDescent="0.25">
      <c r="A386" s="26"/>
      <c r="B386" s="26"/>
      <c r="C386" s="26"/>
      <c r="AG386" s="26"/>
      <c r="AP386" s="27"/>
    </row>
    <row r="387" spans="1:43" ht="15" x14ac:dyDescent="0.25">
      <c r="A387" s="26"/>
      <c r="B387" s="26"/>
      <c r="C387" s="26"/>
      <c r="AG387" s="26"/>
      <c r="AP387" s="27"/>
    </row>
    <row r="388" spans="1:43" ht="15" x14ac:dyDescent="0.25">
      <c r="A388" s="26"/>
      <c r="B388" s="26"/>
      <c r="C388" s="26"/>
      <c r="AG388" s="26"/>
      <c r="AP388" s="27"/>
    </row>
    <row r="389" spans="1:43" ht="15" x14ac:dyDescent="0.25">
      <c r="A389" s="26"/>
      <c r="B389" s="26"/>
      <c r="C389" s="26"/>
      <c r="AG389" s="26"/>
      <c r="AP389" s="27"/>
    </row>
    <row r="390" spans="1:43" ht="15" x14ac:dyDescent="0.25">
      <c r="A390" s="26"/>
      <c r="B390" s="26"/>
      <c r="C390" s="26"/>
      <c r="AG390" s="26"/>
      <c r="AP390" s="27"/>
    </row>
    <row r="391" spans="1:43" ht="15" x14ac:dyDescent="0.25">
      <c r="A391" s="26"/>
      <c r="B391" s="26"/>
      <c r="C391" s="26"/>
      <c r="AG391" s="26"/>
      <c r="AH391" s="28"/>
      <c r="AI391" s="28"/>
      <c r="AJ391" s="28"/>
      <c r="AK391" s="28"/>
      <c r="AL391" s="28"/>
      <c r="AM391" s="28"/>
      <c r="AN391" s="28"/>
      <c r="AO391" s="28"/>
      <c r="AP391" s="29"/>
      <c r="AQ391" s="30"/>
    </row>
    <row r="392" spans="1:43" ht="15" x14ac:dyDescent="0.25">
      <c r="A392" s="26"/>
      <c r="B392" s="26"/>
      <c r="C392" s="26"/>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6"/>
      <c r="AH392" s="28"/>
      <c r="AI392" s="28"/>
      <c r="AJ392" s="28"/>
      <c r="AK392" s="28"/>
      <c r="AL392" s="28"/>
      <c r="AM392" s="28"/>
      <c r="AN392" s="28"/>
      <c r="AO392" s="28"/>
      <c r="AP392" s="36"/>
      <c r="AQ392" s="30"/>
    </row>
    <row r="393" spans="1:43" ht="15"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row>
    <row r="394" spans="1:43" ht="15"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row>
    <row r="395" spans="1:43" ht="15"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row>
    <row r="396" spans="1:43" ht="15"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row>
    <row r="397" spans="1:43" ht="15"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row>
    <row r="398" spans="1:43" ht="15"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row>
    <row r="399" spans="1:43" ht="15"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row>
    <row r="400" spans="1:43" ht="15"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row>
    <row r="401" spans="1:41" ht="15"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row>
    <row r="402" spans="1:41" ht="15" x14ac:dyDescent="0.2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row>
    <row r="403" spans="1:41" ht="15" x14ac:dyDescent="0.2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row>
    <row r="404" spans="1:41" ht="15" x14ac:dyDescent="0.2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row>
    <row r="405" spans="1:41" ht="15" x14ac:dyDescent="0.2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row>
    <row r="406" spans="1:41" ht="15" x14ac:dyDescent="0.2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row>
    <row r="407" spans="1:41" ht="15" x14ac:dyDescent="0.2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row>
    <row r="408" spans="1:41" ht="15" x14ac:dyDescent="0.2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row>
    <row r="409" spans="1:41" ht="15" x14ac:dyDescent="0.2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row>
    <row r="410" spans="1:41" ht="15" x14ac:dyDescent="0.2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row>
    <row r="411" spans="1:41" ht="15" x14ac:dyDescent="0.2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c r="AO411" s="26"/>
    </row>
    <row r="412" spans="1:41" ht="15" x14ac:dyDescent="0.2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row>
    <row r="413" spans="1:41" ht="15" x14ac:dyDescent="0.2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row>
    <row r="414" spans="1:41" ht="15" x14ac:dyDescent="0.2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row>
    <row r="415" spans="1:41" ht="15" x14ac:dyDescent="0.2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row>
    <row r="416" spans="1:41" ht="15" x14ac:dyDescent="0.2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row>
    <row r="417" spans="1:41" ht="15" x14ac:dyDescent="0.2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row>
    <row r="418" spans="1:41" ht="15" x14ac:dyDescent="0.2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row>
    <row r="419" spans="1:41" ht="15" x14ac:dyDescent="0.2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row>
    <row r="420" spans="1:41" ht="15" x14ac:dyDescent="0.25">
      <c r="A420" s="26"/>
      <c r="B420" s="26"/>
    </row>
    <row r="421" spans="1:41" ht="15" x14ac:dyDescent="0.25">
      <c r="A421" s="26"/>
      <c r="B421" s="26"/>
    </row>
    <row r="422" spans="1:41" ht="15" x14ac:dyDescent="0.25">
      <c r="A422" s="26"/>
      <c r="B422" s="26"/>
    </row>
    <row r="423" spans="1:41" ht="15" x14ac:dyDescent="0.25">
      <c r="A423" s="26"/>
      <c r="B423" s="26"/>
    </row>
    <row r="424" spans="1:41" ht="15" x14ac:dyDescent="0.25">
      <c r="A424" s="26"/>
      <c r="B424" s="26"/>
    </row>
    <row r="425" spans="1:41" ht="15" x14ac:dyDescent="0.25">
      <c r="A425" s="26"/>
      <c r="B425" s="26"/>
    </row>
    <row r="426" spans="1:41" ht="15" x14ac:dyDescent="0.25">
      <c r="A426" s="26"/>
      <c r="B426" s="26"/>
    </row>
    <row r="427" spans="1:41" ht="15" x14ac:dyDescent="0.25">
      <c r="A427" s="26"/>
      <c r="B427" s="26"/>
    </row>
    <row r="428" spans="1:41" ht="15" x14ac:dyDescent="0.25">
      <c r="A428" s="26"/>
      <c r="B428" s="26"/>
    </row>
    <row r="429" spans="1:41" ht="15" x14ac:dyDescent="0.25">
      <c r="A429" s="26"/>
      <c r="B429" s="26"/>
    </row>
    <row r="430" spans="1:41" ht="15" x14ac:dyDescent="0.25">
      <c r="A430" s="26"/>
      <c r="B430" s="26"/>
    </row>
    <row r="431" spans="1:41" ht="15" x14ac:dyDescent="0.25">
      <c r="A431" s="26"/>
      <c r="B431" s="26"/>
    </row>
    <row r="432" spans="1:41" ht="15" x14ac:dyDescent="0.25">
      <c r="A432" s="26"/>
      <c r="B432" s="26"/>
    </row>
    <row r="433" spans="1:2" ht="15" x14ac:dyDescent="0.25">
      <c r="A433" s="26"/>
      <c r="B433" s="26"/>
    </row>
    <row r="434" spans="1:2" ht="15" x14ac:dyDescent="0.25">
      <c r="A434" s="26"/>
      <c r="B434" s="26"/>
    </row>
    <row r="435" spans="1:2" ht="15" x14ac:dyDescent="0.25">
      <c r="A435" s="26"/>
      <c r="B435" s="26"/>
    </row>
    <row r="436" spans="1:2" ht="15" x14ac:dyDescent="0.25">
      <c r="A436" s="26"/>
      <c r="B436" s="26"/>
    </row>
    <row r="437" spans="1:2" ht="15" x14ac:dyDescent="0.25">
      <c r="A437" s="26"/>
      <c r="B437" s="26"/>
    </row>
    <row r="438" spans="1:2" ht="15" x14ac:dyDescent="0.25">
      <c r="A438" s="26"/>
      <c r="B438" s="26"/>
    </row>
    <row r="439" spans="1:2" ht="15" x14ac:dyDescent="0.25">
      <c r="A439" s="26"/>
      <c r="B439" s="26"/>
    </row>
    <row r="440" spans="1:2" ht="15" x14ac:dyDescent="0.25">
      <c r="A440" s="26"/>
      <c r="B440" s="26"/>
    </row>
    <row r="441" spans="1:2" ht="15" x14ac:dyDescent="0.25">
      <c r="A441" s="26"/>
      <c r="B441" s="26"/>
    </row>
    <row r="442" spans="1:2" ht="15" x14ac:dyDescent="0.25">
      <c r="A442" s="26"/>
      <c r="B442" s="26"/>
    </row>
    <row r="443" spans="1:2" ht="15" x14ac:dyDescent="0.25">
      <c r="A443" s="26"/>
      <c r="B443" s="26"/>
    </row>
    <row r="444" spans="1:2" ht="15" x14ac:dyDescent="0.25">
      <c r="A444" s="26"/>
      <c r="B444" s="26"/>
    </row>
    <row r="445" spans="1:2" ht="15" x14ac:dyDescent="0.25">
      <c r="A445" s="26"/>
      <c r="B445" s="26"/>
    </row>
    <row r="446" spans="1:2" ht="15" x14ac:dyDescent="0.25">
      <c r="A446" s="26"/>
      <c r="B446" s="26"/>
    </row>
    <row r="447" spans="1:2" ht="15" x14ac:dyDescent="0.25">
      <c r="A447" s="26"/>
      <c r="B447" s="26"/>
    </row>
    <row r="448" spans="1:2" ht="15" x14ac:dyDescent="0.25">
      <c r="A448" s="26"/>
      <c r="B448" s="26"/>
    </row>
    <row r="449" spans="1:2" ht="15" x14ac:dyDescent="0.25">
      <c r="A449" s="26"/>
      <c r="B449" s="26"/>
    </row>
    <row r="450" spans="1:2" ht="15" x14ac:dyDescent="0.25">
      <c r="A450" s="26"/>
      <c r="B450" s="26"/>
    </row>
    <row r="451" spans="1:2" ht="15" x14ac:dyDescent="0.25">
      <c r="A451" s="26"/>
      <c r="B451" s="26"/>
    </row>
    <row r="452" spans="1:2" ht="15" x14ac:dyDescent="0.25">
      <c r="A452" s="26"/>
      <c r="B452" s="26"/>
    </row>
    <row r="453" spans="1:2" ht="15" x14ac:dyDescent="0.25">
      <c r="A453" s="26"/>
      <c r="B453" s="26"/>
    </row>
    <row r="454" spans="1:2" ht="15" x14ac:dyDescent="0.25">
      <c r="A454" s="26"/>
      <c r="B454" s="26"/>
    </row>
    <row r="455" spans="1:2" ht="15" x14ac:dyDescent="0.25">
      <c r="A455" s="26"/>
      <c r="B455" s="26"/>
    </row>
    <row r="456" spans="1:2" ht="15" x14ac:dyDescent="0.25">
      <c r="A456" s="26"/>
      <c r="B456" s="26"/>
    </row>
    <row r="457" spans="1:2" ht="15" x14ac:dyDescent="0.25">
      <c r="A457" s="26"/>
      <c r="B457" s="26"/>
    </row>
    <row r="458" spans="1:2" ht="15" x14ac:dyDescent="0.25">
      <c r="A458" s="26"/>
      <c r="B458" s="26"/>
    </row>
    <row r="459" spans="1:2" ht="15" x14ac:dyDescent="0.25">
      <c r="A459" s="26"/>
      <c r="B459" s="26"/>
    </row>
    <row r="460" spans="1:2" ht="15" x14ac:dyDescent="0.25">
      <c r="A460" s="26"/>
      <c r="B460" s="26"/>
    </row>
    <row r="461" spans="1:2" ht="15" x14ac:dyDescent="0.25">
      <c r="A461" s="26"/>
      <c r="B461" s="26"/>
    </row>
    <row r="462" spans="1:2" ht="15" x14ac:dyDescent="0.25">
      <c r="A462" s="26"/>
      <c r="B462" s="26"/>
    </row>
    <row r="463" spans="1:2" ht="15" x14ac:dyDescent="0.25">
      <c r="A463" s="26"/>
      <c r="B463" s="26"/>
    </row>
    <row r="464" spans="1:2" ht="15" x14ac:dyDescent="0.25">
      <c r="A464" s="26"/>
      <c r="B464" s="26"/>
    </row>
    <row r="465" spans="1:2" ht="15" x14ac:dyDescent="0.25">
      <c r="A465" s="26"/>
      <c r="B465" s="26"/>
    </row>
    <row r="466" spans="1:2" ht="15" x14ac:dyDescent="0.25">
      <c r="A466" s="26"/>
      <c r="B466" s="26"/>
    </row>
    <row r="467" spans="1:2" ht="15" x14ac:dyDescent="0.25">
      <c r="A467" s="26"/>
      <c r="B467" s="26"/>
    </row>
    <row r="468" spans="1:2" ht="15" x14ac:dyDescent="0.25">
      <c r="A468" s="26"/>
      <c r="B468" s="26"/>
    </row>
    <row r="469" spans="1:2" ht="15" x14ac:dyDescent="0.25">
      <c r="A469" s="26"/>
      <c r="B469" s="26"/>
    </row>
    <row r="470" spans="1:2" ht="15" x14ac:dyDescent="0.25">
      <c r="A470" s="26"/>
      <c r="B470" s="26"/>
    </row>
    <row r="471" spans="1:2" ht="15" x14ac:dyDescent="0.25">
      <c r="A471" s="26"/>
      <c r="B471" s="26"/>
    </row>
    <row r="472" spans="1:2" ht="15" x14ac:dyDescent="0.25">
      <c r="A472" s="26"/>
      <c r="B472" s="26"/>
    </row>
    <row r="473" spans="1:2" ht="15" x14ac:dyDescent="0.25">
      <c r="A473" s="26"/>
      <c r="B473" s="26"/>
    </row>
    <row r="474" spans="1:2" ht="15" x14ac:dyDescent="0.25">
      <c r="A474" s="26"/>
      <c r="B474" s="26"/>
    </row>
    <row r="475" spans="1:2" ht="15" x14ac:dyDescent="0.25">
      <c r="A475" s="26"/>
      <c r="B475" s="26"/>
    </row>
    <row r="476" spans="1:2" ht="15" x14ac:dyDescent="0.25">
      <c r="A476" s="26"/>
      <c r="B476" s="26"/>
    </row>
    <row r="477" spans="1:2" ht="15" x14ac:dyDescent="0.25">
      <c r="A477" s="26"/>
      <c r="B477" s="26"/>
    </row>
    <row r="478" spans="1:2" ht="15" x14ac:dyDescent="0.25">
      <c r="A478" s="26"/>
      <c r="B478" s="26"/>
    </row>
    <row r="479" spans="1:2" ht="15" x14ac:dyDescent="0.25">
      <c r="A479" s="26"/>
      <c r="B479" s="26"/>
    </row>
    <row r="480" spans="1:2" ht="15" x14ac:dyDescent="0.25">
      <c r="A480" s="26"/>
      <c r="B480" s="26"/>
    </row>
    <row r="481" spans="1:2" ht="15" x14ac:dyDescent="0.25">
      <c r="A481" s="26"/>
      <c r="B481" s="26"/>
    </row>
    <row r="482" spans="1:2" ht="15" x14ac:dyDescent="0.25">
      <c r="A482" s="26"/>
      <c r="B482" s="26"/>
    </row>
    <row r="483" spans="1:2" ht="15" x14ac:dyDescent="0.25">
      <c r="A483" s="26"/>
      <c r="B483" s="26"/>
    </row>
    <row r="484" spans="1:2" ht="15" x14ac:dyDescent="0.25">
      <c r="A484" s="26"/>
      <c r="B484" s="26"/>
    </row>
    <row r="485" spans="1:2" ht="15" x14ac:dyDescent="0.25">
      <c r="A485" s="26"/>
      <c r="B485" s="26"/>
    </row>
    <row r="486" spans="1:2" ht="15" x14ac:dyDescent="0.25">
      <c r="A486" s="26"/>
      <c r="B486" s="26"/>
    </row>
    <row r="487" spans="1:2" ht="15" x14ac:dyDescent="0.25">
      <c r="A487" s="26"/>
      <c r="B487" s="26"/>
    </row>
    <row r="488" spans="1:2" ht="15" x14ac:dyDescent="0.25">
      <c r="A488" s="26"/>
      <c r="B488" s="26"/>
    </row>
    <row r="489" spans="1:2" ht="15" x14ac:dyDescent="0.25">
      <c r="A489" s="26"/>
      <c r="B489" s="26"/>
    </row>
    <row r="490" spans="1:2" ht="15" x14ac:dyDescent="0.25">
      <c r="A490" s="26"/>
      <c r="B490" s="26"/>
    </row>
    <row r="491" spans="1:2" ht="15" x14ac:dyDescent="0.25">
      <c r="A491" s="26"/>
      <c r="B491" s="26"/>
    </row>
    <row r="492" spans="1:2" ht="15" x14ac:dyDescent="0.25">
      <c r="A492" s="26"/>
      <c r="B492" s="26"/>
    </row>
    <row r="493" spans="1:2" ht="15" x14ac:dyDescent="0.25">
      <c r="A493" s="26"/>
      <c r="B493" s="26"/>
    </row>
    <row r="494" spans="1:2" ht="15" x14ac:dyDescent="0.25">
      <c r="A494" s="26"/>
      <c r="B494" s="26"/>
    </row>
    <row r="495" spans="1:2" ht="15" x14ac:dyDescent="0.25">
      <c r="A495" s="26"/>
      <c r="B495" s="26"/>
    </row>
    <row r="496" spans="1:2" ht="15" x14ac:dyDescent="0.25">
      <c r="A496" s="26"/>
      <c r="B496" s="26"/>
    </row>
    <row r="497" spans="1:2" ht="15" x14ac:dyDescent="0.25">
      <c r="A497" s="26"/>
      <c r="B497" s="26"/>
    </row>
    <row r="498" spans="1:2" ht="15" x14ac:dyDescent="0.25">
      <c r="A498" s="26"/>
      <c r="B498" s="26"/>
    </row>
    <row r="499" spans="1:2" ht="15" x14ac:dyDescent="0.25">
      <c r="A499" s="26"/>
      <c r="B499" s="26"/>
    </row>
    <row r="500" spans="1:2" ht="15" x14ac:dyDescent="0.25">
      <c r="A500" s="26"/>
      <c r="B500" s="26"/>
    </row>
    <row r="501" spans="1:2" ht="15" x14ac:dyDescent="0.25">
      <c r="A501" s="26"/>
      <c r="B501" s="26"/>
    </row>
    <row r="502" spans="1:2" ht="15" x14ac:dyDescent="0.25">
      <c r="A502" s="26"/>
      <c r="B502" s="26"/>
    </row>
    <row r="503" spans="1:2" ht="15" x14ac:dyDescent="0.25">
      <c r="A503" s="26"/>
      <c r="B503" s="26"/>
    </row>
    <row r="504" spans="1:2" ht="15" x14ac:dyDescent="0.25">
      <c r="A504" s="26"/>
      <c r="B504" s="26"/>
    </row>
    <row r="505" spans="1:2" ht="15" x14ac:dyDescent="0.25">
      <c r="A505" s="26"/>
      <c r="B505" s="26"/>
    </row>
    <row r="506" spans="1:2" ht="15" x14ac:dyDescent="0.25">
      <c r="A506" s="26"/>
      <c r="B506" s="26"/>
    </row>
    <row r="507" spans="1:2" ht="15" x14ac:dyDescent="0.25">
      <c r="A507" s="26"/>
      <c r="B507" s="26"/>
    </row>
    <row r="508" spans="1:2" ht="15" x14ac:dyDescent="0.25">
      <c r="A508" s="26"/>
      <c r="B508" s="26"/>
    </row>
    <row r="509" spans="1:2" ht="15" x14ac:dyDescent="0.25">
      <c r="A509" s="26"/>
      <c r="B509" s="26"/>
    </row>
    <row r="510" spans="1:2" ht="15" x14ac:dyDescent="0.25">
      <c r="A510" s="26"/>
      <c r="B510" s="26"/>
    </row>
    <row r="511" spans="1:2" ht="15" x14ac:dyDescent="0.25">
      <c r="A511" s="26"/>
      <c r="B511" s="26"/>
    </row>
    <row r="512" spans="1:2" ht="15" x14ac:dyDescent="0.25">
      <c r="A512" s="26"/>
      <c r="B512" s="26"/>
    </row>
    <row r="513" spans="1:2" ht="15" x14ac:dyDescent="0.25">
      <c r="A513" s="26"/>
      <c r="B513" s="26"/>
    </row>
    <row r="514" spans="1:2" ht="15" x14ac:dyDescent="0.25">
      <c r="A514" s="26"/>
      <c r="B514" s="26"/>
    </row>
    <row r="515" spans="1:2" ht="15" x14ac:dyDescent="0.25">
      <c r="A515" s="26"/>
      <c r="B515" s="26"/>
    </row>
    <row r="516" spans="1:2" ht="15" x14ac:dyDescent="0.25">
      <c r="A516" s="26"/>
      <c r="B516" s="26"/>
    </row>
    <row r="517" spans="1:2" ht="15" x14ac:dyDescent="0.25">
      <c r="A517" s="26"/>
      <c r="B517" s="26"/>
    </row>
    <row r="518" spans="1:2" ht="15" x14ac:dyDescent="0.25">
      <c r="A518" s="26"/>
      <c r="B518" s="26"/>
    </row>
    <row r="519" spans="1:2" ht="15" x14ac:dyDescent="0.25">
      <c r="A519" s="26"/>
      <c r="B519" s="26"/>
    </row>
    <row r="520" spans="1:2" ht="15" x14ac:dyDescent="0.25">
      <c r="A520" s="26"/>
      <c r="B520" s="26"/>
    </row>
    <row r="521" spans="1:2" ht="15" x14ac:dyDescent="0.25">
      <c r="A521" s="26"/>
      <c r="B521" s="26"/>
    </row>
    <row r="522" spans="1:2" ht="15" x14ac:dyDescent="0.25">
      <c r="A522" s="26"/>
      <c r="B522" s="26"/>
    </row>
    <row r="523" spans="1:2" ht="15" x14ac:dyDescent="0.25">
      <c r="A523" s="26"/>
      <c r="B523" s="26"/>
    </row>
    <row r="524" spans="1:2" ht="15" x14ac:dyDescent="0.25">
      <c r="A524" s="26"/>
      <c r="B524" s="26"/>
    </row>
    <row r="525" spans="1:2" ht="15" x14ac:dyDescent="0.25">
      <c r="A525" s="26"/>
      <c r="B525" s="26"/>
    </row>
    <row r="526" spans="1:2" ht="15" x14ac:dyDescent="0.25">
      <c r="A526" s="26"/>
      <c r="B526" s="26"/>
    </row>
    <row r="527" spans="1:2" ht="15" x14ac:dyDescent="0.25">
      <c r="A527" s="26"/>
      <c r="B527" s="26"/>
    </row>
    <row r="528" spans="1:2" ht="15" x14ac:dyDescent="0.25">
      <c r="A528" s="26"/>
      <c r="B528" s="26"/>
    </row>
    <row r="529" spans="1:2" ht="15" x14ac:dyDescent="0.25">
      <c r="A529" s="26"/>
      <c r="B529" s="26"/>
    </row>
    <row r="530" spans="1:2" ht="15" x14ac:dyDescent="0.25">
      <c r="A530" s="26"/>
      <c r="B530" s="26"/>
    </row>
    <row r="531" spans="1:2" ht="15" x14ac:dyDescent="0.25">
      <c r="A531" s="26"/>
      <c r="B531" s="26"/>
    </row>
    <row r="532" spans="1:2" ht="15" x14ac:dyDescent="0.25">
      <c r="A532" s="26"/>
      <c r="B532" s="26"/>
    </row>
    <row r="533" spans="1:2" ht="15" x14ac:dyDescent="0.25">
      <c r="A533" s="26"/>
      <c r="B533" s="26"/>
    </row>
    <row r="534" spans="1:2" ht="15" x14ac:dyDescent="0.25">
      <c r="A534" s="26"/>
      <c r="B534" s="26"/>
    </row>
    <row r="535" spans="1:2" ht="15" x14ac:dyDescent="0.25">
      <c r="A535" s="26"/>
      <c r="B535" s="26"/>
    </row>
    <row r="536" spans="1:2" ht="15" x14ac:dyDescent="0.25">
      <c r="A536" s="26"/>
      <c r="B536" s="26"/>
    </row>
    <row r="537" spans="1:2" ht="15" x14ac:dyDescent="0.25">
      <c r="A537" s="26"/>
      <c r="B537" s="26"/>
    </row>
    <row r="538" spans="1:2" ht="15" x14ac:dyDescent="0.25">
      <c r="A538" s="26"/>
      <c r="B538" s="26"/>
    </row>
    <row r="539" spans="1:2" ht="15" x14ac:dyDescent="0.25">
      <c r="A539" s="26"/>
      <c r="B539" s="26"/>
    </row>
    <row r="540" spans="1:2" ht="15" x14ac:dyDescent="0.25">
      <c r="A540" s="26"/>
      <c r="B540" s="26"/>
    </row>
    <row r="541" spans="1:2" ht="15" x14ac:dyDescent="0.25">
      <c r="A541" s="26"/>
      <c r="B541" s="26"/>
    </row>
    <row r="542" spans="1:2" ht="15" x14ac:dyDescent="0.25">
      <c r="A542" s="26"/>
      <c r="B542" s="26"/>
    </row>
    <row r="543" spans="1:2" ht="15" x14ac:dyDescent="0.25">
      <c r="A543" s="26"/>
      <c r="B543" s="26"/>
    </row>
    <row r="544" spans="1:2" ht="15" x14ac:dyDescent="0.25">
      <c r="A544" s="26"/>
      <c r="B544" s="26"/>
    </row>
    <row r="545" spans="1:2" ht="15" x14ac:dyDescent="0.25">
      <c r="A545" s="26"/>
      <c r="B545" s="26"/>
    </row>
    <row r="546" spans="1:2" ht="15" x14ac:dyDescent="0.25">
      <c r="A546" s="26"/>
      <c r="B546" s="26"/>
    </row>
    <row r="547" spans="1:2" ht="15" x14ac:dyDescent="0.25">
      <c r="A547" s="26"/>
      <c r="B547" s="26"/>
    </row>
    <row r="548" spans="1:2" ht="15" x14ac:dyDescent="0.25">
      <c r="A548" s="26"/>
      <c r="B548" s="26"/>
    </row>
    <row r="549" spans="1:2" ht="15" x14ac:dyDescent="0.25">
      <c r="A549" s="26"/>
      <c r="B549" s="26"/>
    </row>
    <row r="550" spans="1:2" ht="15" x14ac:dyDescent="0.25">
      <c r="A550" s="26"/>
      <c r="B550" s="26"/>
    </row>
    <row r="551" spans="1:2" ht="15" x14ac:dyDescent="0.25">
      <c r="A551" s="26"/>
      <c r="B551" s="26"/>
    </row>
    <row r="552" spans="1:2" ht="15" x14ac:dyDescent="0.25">
      <c r="A552" s="26"/>
      <c r="B552" s="26"/>
    </row>
    <row r="553" spans="1:2" ht="15" x14ac:dyDescent="0.25">
      <c r="A553" s="26"/>
      <c r="B553" s="26"/>
    </row>
    <row r="554" spans="1:2" ht="15" x14ac:dyDescent="0.25">
      <c r="A554" s="26"/>
      <c r="B554" s="26"/>
    </row>
    <row r="555" spans="1:2" ht="15" x14ac:dyDescent="0.25">
      <c r="A555" s="26"/>
      <c r="B555" s="26"/>
    </row>
    <row r="556" spans="1:2" ht="15" x14ac:dyDescent="0.25">
      <c r="A556" s="26"/>
      <c r="B556" s="26"/>
    </row>
    <row r="557" spans="1:2" ht="15" x14ac:dyDescent="0.25">
      <c r="A557" s="26"/>
      <c r="B557" s="26"/>
    </row>
    <row r="558" spans="1:2" ht="15" x14ac:dyDescent="0.25">
      <c r="A558" s="26"/>
      <c r="B558" s="26"/>
    </row>
    <row r="559" spans="1:2" ht="15" x14ac:dyDescent="0.25">
      <c r="A559" s="26"/>
      <c r="B559" s="26"/>
    </row>
    <row r="560" spans="1:2" ht="15" x14ac:dyDescent="0.25">
      <c r="A560" s="26"/>
      <c r="B560" s="26"/>
    </row>
    <row r="561" spans="1:2" ht="15" x14ac:dyDescent="0.25">
      <c r="A561" s="26"/>
      <c r="B561" s="26"/>
    </row>
    <row r="562" spans="1:2" ht="15" x14ac:dyDescent="0.25">
      <c r="A562" s="26"/>
      <c r="B562" s="26"/>
    </row>
    <row r="563" spans="1:2" ht="15" x14ac:dyDescent="0.25">
      <c r="A563" s="26"/>
      <c r="B563" s="26"/>
    </row>
    <row r="564" spans="1:2" ht="15" x14ac:dyDescent="0.25">
      <c r="A564" s="26"/>
      <c r="B564" s="26"/>
    </row>
    <row r="565" spans="1:2" ht="15" x14ac:dyDescent="0.25">
      <c r="A565" s="26"/>
      <c r="B565" s="26"/>
    </row>
    <row r="566" spans="1:2" ht="15" x14ac:dyDescent="0.25">
      <c r="A566" s="26"/>
      <c r="B566" s="26"/>
    </row>
    <row r="567" spans="1:2" ht="15" x14ac:dyDescent="0.25">
      <c r="A567" s="26"/>
      <c r="B567" s="26"/>
    </row>
    <row r="568" spans="1:2" ht="15" x14ac:dyDescent="0.25">
      <c r="A568" s="26"/>
      <c r="B568" s="26"/>
    </row>
    <row r="569" spans="1:2" ht="15" x14ac:dyDescent="0.25">
      <c r="A569" s="26"/>
      <c r="B569" s="26"/>
    </row>
    <row r="570" spans="1:2" ht="15" x14ac:dyDescent="0.25">
      <c r="A570" s="26"/>
      <c r="B570" s="26"/>
    </row>
    <row r="571" spans="1:2" ht="15" x14ac:dyDescent="0.25">
      <c r="A571" s="26"/>
      <c r="B571" s="26"/>
    </row>
    <row r="572" spans="1:2" ht="15" x14ac:dyDescent="0.25">
      <c r="A572" s="26"/>
      <c r="B572" s="26"/>
    </row>
    <row r="573" spans="1:2" ht="15" x14ac:dyDescent="0.25">
      <c r="A573" s="26"/>
      <c r="B573" s="26"/>
    </row>
    <row r="574" spans="1:2" ht="15" x14ac:dyDescent="0.25">
      <c r="A574" s="26"/>
      <c r="B574" s="26"/>
    </row>
    <row r="575" spans="1:2" ht="15" x14ac:dyDescent="0.25">
      <c r="A575" s="26"/>
      <c r="B575" s="26"/>
    </row>
    <row r="576" spans="1:2" ht="15" x14ac:dyDescent="0.25">
      <c r="A576" s="26"/>
      <c r="B576" s="26"/>
    </row>
    <row r="577" spans="1:2" ht="15" x14ac:dyDescent="0.25">
      <c r="A577" s="26"/>
      <c r="B577" s="26"/>
    </row>
    <row r="578" spans="1:2" ht="15" x14ac:dyDescent="0.25">
      <c r="A578" s="26"/>
      <c r="B578" s="26"/>
    </row>
    <row r="579" spans="1:2" ht="15" x14ac:dyDescent="0.25">
      <c r="A579" s="26"/>
      <c r="B579" s="26"/>
    </row>
    <row r="580" spans="1:2" ht="15" x14ac:dyDescent="0.25">
      <c r="A580" s="26"/>
      <c r="B580" s="26"/>
    </row>
    <row r="581" spans="1:2" ht="15" x14ac:dyDescent="0.25">
      <c r="A581" s="26"/>
      <c r="B581" s="26"/>
    </row>
    <row r="582" spans="1:2" ht="15" x14ac:dyDescent="0.25">
      <c r="A582" s="26"/>
      <c r="B582" s="26"/>
    </row>
    <row r="583" spans="1:2" ht="15" x14ac:dyDescent="0.25">
      <c r="A583" s="26"/>
      <c r="B583" s="26"/>
    </row>
    <row r="584" spans="1:2" ht="15" x14ac:dyDescent="0.25">
      <c r="A584" s="26"/>
      <c r="B584" s="26"/>
    </row>
    <row r="585" spans="1:2" ht="15" x14ac:dyDescent="0.25">
      <c r="A585" s="26"/>
      <c r="B585" s="26"/>
    </row>
    <row r="586" spans="1:2" ht="15" x14ac:dyDescent="0.25">
      <c r="A586" s="26"/>
      <c r="B586" s="26"/>
    </row>
    <row r="587" spans="1:2" ht="15" x14ac:dyDescent="0.25">
      <c r="A587" s="26"/>
      <c r="B587" s="26"/>
    </row>
    <row r="588" spans="1:2" ht="15" x14ac:dyDescent="0.25">
      <c r="A588" s="26"/>
      <c r="B588" s="26"/>
    </row>
    <row r="589" spans="1:2" ht="15" x14ac:dyDescent="0.25">
      <c r="A589" s="26"/>
      <c r="B589" s="26"/>
    </row>
    <row r="590" spans="1:2" ht="15" x14ac:dyDescent="0.25">
      <c r="A590" s="26"/>
      <c r="B590" s="26"/>
    </row>
    <row r="591" spans="1:2" ht="15" x14ac:dyDescent="0.25">
      <c r="A591" s="26"/>
      <c r="B591" s="26"/>
    </row>
    <row r="592" spans="1:2" ht="15" x14ac:dyDescent="0.25">
      <c r="A592" s="26"/>
      <c r="B592" s="26"/>
    </row>
    <row r="593" spans="1:2" ht="15" x14ac:dyDescent="0.25">
      <c r="A593" s="26"/>
      <c r="B593" s="26"/>
    </row>
    <row r="594" spans="1:2" ht="15" x14ac:dyDescent="0.25">
      <c r="A594" s="26"/>
      <c r="B594" s="26"/>
    </row>
    <row r="595" spans="1:2" ht="15" x14ac:dyDescent="0.25">
      <c r="A595" s="26"/>
      <c r="B595" s="26"/>
    </row>
    <row r="596" spans="1:2" ht="15" x14ac:dyDescent="0.25">
      <c r="A596" s="26"/>
      <c r="B596" s="26"/>
    </row>
    <row r="597" spans="1:2" ht="15" x14ac:dyDescent="0.25">
      <c r="A597" s="26"/>
      <c r="B597" s="26"/>
    </row>
    <row r="598" spans="1:2" ht="15" x14ac:dyDescent="0.25">
      <c r="A598" s="26"/>
      <c r="B598" s="26"/>
    </row>
    <row r="599" spans="1:2" ht="15" x14ac:dyDescent="0.25">
      <c r="A599" s="26"/>
      <c r="B599" s="26"/>
    </row>
    <row r="600" spans="1:2" ht="15" x14ac:dyDescent="0.25">
      <c r="A600" s="26"/>
      <c r="B600" s="26"/>
    </row>
    <row r="601" spans="1:2" ht="15" x14ac:dyDescent="0.25">
      <c r="A601" s="26"/>
      <c r="B601" s="26"/>
    </row>
    <row r="602" spans="1:2" ht="15" x14ac:dyDescent="0.25">
      <c r="A602" s="26"/>
      <c r="B602" s="26"/>
    </row>
    <row r="603" spans="1:2" ht="15" x14ac:dyDescent="0.25">
      <c r="A603" s="26"/>
      <c r="B603" s="26"/>
    </row>
    <row r="604" spans="1:2" ht="15" x14ac:dyDescent="0.25">
      <c r="A604" s="26"/>
      <c r="B604" s="26"/>
    </row>
    <row r="605" spans="1:2" ht="15" x14ac:dyDescent="0.25">
      <c r="A605" s="26"/>
      <c r="B605" s="26"/>
    </row>
    <row r="606" spans="1:2" ht="15" x14ac:dyDescent="0.25">
      <c r="A606" s="26"/>
      <c r="B606" s="26"/>
    </row>
    <row r="607" spans="1:2" ht="15" x14ac:dyDescent="0.25">
      <c r="A607" s="26"/>
      <c r="B607" s="26"/>
    </row>
    <row r="608" spans="1:2" ht="15" x14ac:dyDescent="0.25">
      <c r="A608" s="26"/>
      <c r="B608" s="26"/>
    </row>
    <row r="609" spans="1:2" ht="15" x14ac:dyDescent="0.25">
      <c r="A609" s="26"/>
      <c r="B609" s="26"/>
    </row>
    <row r="610" spans="1:2" ht="15" x14ac:dyDescent="0.25">
      <c r="A610" s="26"/>
      <c r="B610" s="26"/>
    </row>
    <row r="611" spans="1:2" ht="15" x14ac:dyDescent="0.25">
      <c r="A611" s="26"/>
      <c r="B611" s="26"/>
    </row>
    <row r="612" spans="1:2" ht="15" x14ac:dyDescent="0.25">
      <c r="A612" s="26"/>
      <c r="B612" s="26"/>
    </row>
    <row r="613" spans="1:2" ht="15" x14ac:dyDescent="0.25">
      <c r="A613" s="26"/>
      <c r="B613" s="26"/>
    </row>
    <row r="614" spans="1:2" ht="15" x14ac:dyDescent="0.25">
      <c r="A614" s="26"/>
      <c r="B614" s="26"/>
    </row>
    <row r="615" spans="1:2" ht="15" x14ac:dyDescent="0.25">
      <c r="A615" s="26"/>
      <c r="B615" s="26"/>
    </row>
    <row r="616" spans="1:2" ht="15" x14ac:dyDescent="0.25">
      <c r="A616" s="26"/>
      <c r="B616" s="26"/>
    </row>
    <row r="617" spans="1:2" ht="15" x14ac:dyDescent="0.25">
      <c r="A617" s="26"/>
      <c r="B617" s="26"/>
    </row>
    <row r="618" spans="1:2" ht="15" x14ac:dyDescent="0.25">
      <c r="A618" s="26"/>
      <c r="B618" s="26"/>
    </row>
    <row r="619" spans="1:2" ht="15" x14ac:dyDescent="0.25">
      <c r="A619" s="26"/>
      <c r="B619" s="26"/>
    </row>
    <row r="620" spans="1:2" ht="15" x14ac:dyDescent="0.25">
      <c r="A620" s="26"/>
      <c r="B620" s="26"/>
    </row>
    <row r="621" spans="1:2" ht="15" x14ac:dyDescent="0.25">
      <c r="A621" s="26"/>
      <c r="B621" s="26"/>
    </row>
    <row r="622" spans="1:2" ht="15" x14ac:dyDescent="0.25">
      <c r="A622" s="26"/>
      <c r="B622" s="26"/>
    </row>
    <row r="623" spans="1:2" ht="15" x14ac:dyDescent="0.25">
      <c r="A623" s="26"/>
      <c r="B623" s="26"/>
    </row>
    <row r="624" spans="1:2" ht="15" x14ac:dyDescent="0.25">
      <c r="A624" s="26"/>
      <c r="B624" s="26"/>
    </row>
    <row r="625" spans="1:2" ht="15" x14ac:dyDescent="0.25">
      <c r="A625" s="26"/>
      <c r="B625" s="26"/>
    </row>
    <row r="626" spans="1:2" ht="15" x14ac:dyDescent="0.25">
      <c r="A626" s="26"/>
      <c r="B626" s="26"/>
    </row>
    <row r="627" spans="1:2" ht="15" x14ac:dyDescent="0.25">
      <c r="A627" s="26"/>
      <c r="B627" s="26"/>
    </row>
    <row r="628" spans="1:2" ht="15" x14ac:dyDescent="0.25">
      <c r="A628" s="26"/>
      <c r="B628" s="26"/>
    </row>
    <row r="629" spans="1:2" ht="15" x14ac:dyDescent="0.25">
      <c r="A629" s="26"/>
      <c r="B629" s="26"/>
    </row>
    <row r="630" spans="1:2" ht="15" x14ac:dyDescent="0.25">
      <c r="A630" s="26"/>
      <c r="B630" s="26"/>
    </row>
    <row r="631" spans="1:2" ht="15" x14ac:dyDescent="0.25">
      <c r="A631" s="26"/>
      <c r="B631" s="26"/>
    </row>
    <row r="632" spans="1:2" ht="15" x14ac:dyDescent="0.25">
      <c r="A632" s="26"/>
      <c r="B632" s="26"/>
    </row>
    <row r="633" spans="1:2" ht="15" x14ac:dyDescent="0.25">
      <c r="A633" s="26"/>
      <c r="B633" s="26"/>
    </row>
    <row r="634" spans="1:2" ht="15" x14ac:dyDescent="0.25">
      <c r="A634" s="26"/>
      <c r="B634" s="26"/>
    </row>
    <row r="635" spans="1:2" ht="15" x14ac:dyDescent="0.25">
      <c r="A635" s="26"/>
      <c r="B635" s="26"/>
    </row>
    <row r="636" spans="1:2" ht="15" x14ac:dyDescent="0.25">
      <c r="A636" s="26"/>
      <c r="B636" s="26"/>
    </row>
    <row r="637" spans="1:2" ht="15" x14ac:dyDescent="0.25">
      <c r="A637" s="26"/>
      <c r="B637" s="26"/>
    </row>
    <row r="638" spans="1:2" ht="15" x14ac:dyDescent="0.25">
      <c r="A638" s="26"/>
      <c r="B638" s="26"/>
    </row>
    <row r="639" spans="1:2" ht="15" x14ac:dyDescent="0.25">
      <c r="A639" s="26"/>
      <c r="B639" s="26"/>
    </row>
    <row r="640" spans="1:2" ht="15" x14ac:dyDescent="0.25">
      <c r="A640" s="26"/>
      <c r="B640" s="26"/>
    </row>
    <row r="641" spans="1:2" ht="15" x14ac:dyDescent="0.25">
      <c r="A641" s="26"/>
      <c r="B641" s="26"/>
    </row>
    <row r="642" spans="1:2" ht="15" x14ac:dyDescent="0.25">
      <c r="A642" s="26"/>
      <c r="B642" s="26"/>
    </row>
    <row r="643" spans="1:2" ht="15" x14ac:dyDescent="0.25">
      <c r="A643" s="26"/>
      <c r="B643" s="26"/>
    </row>
    <row r="644" spans="1:2" ht="15" x14ac:dyDescent="0.25">
      <c r="A644" s="26"/>
      <c r="B644" s="26"/>
    </row>
    <row r="645" spans="1:2" ht="15" x14ac:dyDescent="0.25">
      <c r="A645" s="26"/>
      <c r="B645" s="26"/>
    </row>
    <row r="646" spans="1:2" ht="15" x14ac:dyDescent="0.25">
      <c r="A646" s="26"/>
      <c r="B646" s="26"/>
    </row>
    <row r="647" spans="1:2" ht="15" x14ac:dyDescent="0.25">
      <c r="A647" s="26"/>
      <c r="B647" s="26"/>
    </row>
    <row r="648" spans="1:2" ht="15" x14ac:dyDescent="0.25">
      <c r="A648" s="26"/>
      <c r="B648" s="26"/>
    </row>
    <row r="649" spans="1:2" ht="15" x14ac:dyDescent="0.25">
      <c r="A649" s="26"/>
      <c r="B649" s="26"/>
    </row>
    <row r="650" spans="1:2" ht="15" x14ac:dyDescent="0.25">
      <c r="A650" s="26"/>
      <c r="B650" s="26"/>
    </row>
    <row r="651" spans="1:2" ht="15" x14ac:dyDescent="0.25">
      <c r="A651" s="26"/>
      <c r="B651" s="26"/>
    </row>
    <row r="652" spans="1:2" ht="15" x14ac:dyDescent="0.25">
      <c r="A652" s="26"/>
      <c r="B652" s="26"/>
    </row>
    <row r="653" spans="1:2" ht="15" x14ac:dyDescent="0.25">
      <c r="A653" s="26"/>
      <c r="B653" s="26"/>
    </row>
    <row r="654" spans="1:2" ht="15" x14ac:dyDescent="0.25">
      <c r="A654" s="26"/>
      <c r="B654" s="26"/>
    </row>
    <row r="655" spans="1:2" ht="15" x14ac:dyDescent="0.25">
      <c r="A655" s="26"/>
      <c r="B655" s="26"/>
    </row>
    <row r="656" spans="1:2" ht="15" x14ac:dyDescent="0.25">
      <c r="A656" s="26"/>
      <c r="B656" s="26"/>
    </row>
    <row r="657" spans="1:2" ht="15" x14ac:dyDescent="0.25">
      <c r="A657" s="26"/>
      <c r="B657" s="26"/>
    </row>
    <row r="658" spans="1:2" ht="15" x14ac:dyDescent="0.25">
      <c r="A658" s="26"/>
      <c r="B658" s="26"/>
    </row>
    <row r="659" spans="1:2" ht="15" x14ac:dyDescent="0.25">
      <c r="A659" s="26"/>
      <c r="B659" s="26"/>
    </row>
    <row r="660" spans="1:2" ht="15" x14ac:dyDescent="0.25">
      <c r="A660" s="26"/>
      <c r="B660" s="26"/>
    </row>
    <row r="661" spans="1:2" ht="15" x14ac:dyDescent="0.25">
      <c r="A661" s="26"/>
      <c r="B661" s="26"/>
    </row>
    <row r="662" spans="1:2" ht="15" x14ac:dyDescent="0.25">
      <c r="A662" s="26"/>
      <c r="B662" s="26"/>
    </row>
    <row r="663" spans="1:2" ht="15" x14ac:dyDescent="0.25">
      <c r="A663" s="26"/>
      <c r="B663" s="26"/>
    </row>
    <row r="664" spans="1:2" ht="15" x14ac:dyDescent="0.25">
      <c r="A664" s="26"/>
      <c r="B664" s="26"/>
    </row>
    <row r="665" spans="1:2" ht="15" x14ac:dyDescent="0.25">
      <c r="A665" s="26"/>
      <c r="B665" s="26"/>
    </row>
    <row r="666" spans="1:2" ht="15" x14ac:dyDescent="0.25">
      <c r="A666" s="26"/>
      <c r="B666" s="26"/>
    </row>
    <row r="667" spans="1:2" ht="15" x14ac:dyDescent="0.25">
      <c r="A667" s="26"/>
      <c r="B667" s="26"/>
    </row>
    <row r="668" spans="1:2" ht="15" x14ac:dyDescent="0.25">
      <c r="A668" s="26"/>
      <c r="B668" s="26"/>
    </row>
    <row r="669" spans="1:2" ht="15" x14ac:dyDescent="0.25">
      <c r="A669" s="26"/>
      <c r="B669" s="26"/>
    </row>
    <row r="670" spans="1:2" ht="15" x14ac:dyDescent="0.25">
      <c r="A670" s="26"/>
      <c r="B670" s="26"/>
    </row>
    <row r="671" spans="1:2" ht="15" x14ac:dyDescent="0.25">
      <c r="A671" s="26"/>
      <c r="B671" s="26"/>
    </row>
    <row r="672" spans="1:2" ht="15" x14ac:dyDescent="0.25">
      <c r="A672" s="26"/>
      <c r="B672" s="26"/>
    </row>
    <row r="673" spans="1:2" ht="15" x14ac:dyDescent="0.25">
      <c r="A673" s="26"/>
      <c r="B673" s="26"/>
    </row>
    <row r="674" spans="1:2" ht="15" x14ac:dyDescent="0.25">
      <c r="A674" s="26"/>
      <c r="B674" s="26"/>
    </row>
    <row r="675" spans="1:2" ht="15" x14ac:dyDescent="0.25">
      <c r="A675" s="26"/>
      <c r="B675" s="26"/>
    </row>
    <row r="676" spans="1:2" ht="15" x14ac:dyDescent="0.25">
      <c r="A676" s="26"/>
      <c r="B676" s="26"/>
    </row>
    <row r="677" spans="1:2" ht="15" x14ac:dyDescent="0.25">
      <c r="A677" s="26"/>
      <c r="B677" s="26"/>
    </row>
    <row r="678" spans="1:2" ht="15" x14ac:dyDescent="0.25">
      <c r="A678" s="26"/>
      <c r="B678" s="26"/>
    </row>
    <row r="679" spans="1:2" ht="15" x14ac:dyDescent="0.25">
      <c r="A679" s="26"/>
      <c r="B679" s="26"/>
    </row>
    <row r="680" spans="1:2" ht="15" x14ac:dyDescent="0.25">
      <c r="A680" s="26"/>
      <c r="B680" s="26"/>
    </row>
    <row r="681" spans="1:2" ht="15" x14ac:dyDescent="0.25">
      <c r="A681" s="26"/>
      <c r="B681" s="26"/>
    </row>
    <row r="682" spans="1:2" ht="15" x14ac:dyDescent="0.25">
      <c r="A682" s="26"/>
      <c r="B682" s="26"/>
    </row>
    <row r="683" spans="1:2" ht="15" x14ac:dyDescent="0.25">
      <c r="A683" s="26"/>
      <c r="B683" s="26"/>
    </row>
    <row r="684" spans="1:2" ht="15" x14ac:dyDescent="0.25">
      <c r="A684" s="26"/>
      <c r="B684" s="26"/>
    </row>
    <row r="685" spans="1:2" ht="15" x14ac:dyDescent="0.25">
      <c r="A685" s="26"/>
      <c r="B685" s="26"/>
    </row>
    <row r="686" spans="1:2" ht="15" x14ac:dyDescent="0.25">
      <c r="A686" s="26"/>
      <c r="B686" s="26"/>
    </row>
    <row r="687" spans="1:2" ht="15" x14ac:dyDescent="0.25">
      <c r="A687" s="26"/>
      <c r="B687" s="26"/>
    </row>
    <row r="688" spans="1:2" ht="15" x14ac:dyDescent="0.25">
      <c r="A688" s="26"/>
      <c r="B688" s="26"/>
    </row>
    <row r="689" spans="1:2" ht="15" x14ac:dyDescent="0.25">
      <c r="A689" s="26"/>
      <c r="B689" s="26"/>
    </row>
    <row r="690" spans="1:2" ht="15" x14ac:dyDescent="0.25">
      <c r="A690" s="26"/>
      <c r="B690" s="26"/>
    </row>
    <row r="691" spans="1:2" ht="15" x14ac:dyDescent="0.25">
      <c r="A691" s="26"/>
      <c r="B691" s="26"/>
    </row>
    <row r="692" spans="1:2" ht="15" x14ac:dyDescent="0.25">
      <c r="A692" s="26"/>
      <c r="B692" s="26"/>
    </row>
    <row r="693" spans="1:2" ht="15" x14ac:dyDescent="0.25">
      <c r="A693" s="26"/>
      <c r="B693" s="26"/>
    </row>
    <row r="694" spans="1:2" ht="15" x14ac:dyDescent="0.25">
      <c r="A694" s="26"/>
      <c r="B694" s="26"/>
    </row>
    <row r="695" spans="1:2" ht="15" x14ac:dyDescent="0.25">
      <c r="A695" s="26"/>
      <c r="B695" s="26"/>
    </row>
    <row r="696" spans="1:2" ht="15" x14ac:dyDescent="0.25">
      <c r="A696" s="26"/>
      <c r="B696" s="26"/>
    </row>
    <row r="697" spans="1:2" ht="15" x14ac:dyDescent="0.25">
      <c r="A697" s="26"/>
      <c r="B697" s="26"/>
    </row>
    <row r="698" spans="1:2" ht="15" x14ac:dyDescent="0.25">
      <c r="A698" s="26"/>
      <c r="B698" s="26"/>
    </row>
    <row r="699" spans="1:2" ht="15" x14ac:dyDescent="0.25">
      <c r="A699" s="26"/>
      <c r="B699" s="26"/>
    </row>
    <row r="700" spans="1:2" ht="15" x14ac:dyDescent="0.25">
      <c r="A700" s="26"/>
      <c r="B700" s="26"/>
    </row>
    <row r="701" spans="1:2" ht="15" x14ac:dyDescent="0.25">
      <c r="A701" s="26"/>
      <c r="B701" s="26"/>
    </row>
    <row r="702" spans="1:2" ht="15" x14ac:dyDescent="0.25">
      <c r="A702" s="26"/>
      <c r="B702" s="26"/>
    </row>
    <row r="703" spans="1:2" ht="15" x14ac:dyDescent="0.25">
      <c r="A703" s="26"/>
      <c r="B703" s="26"/>
    </row>
    <row r="704" spans="1:2" ht="15" x14ac:dyDescent="0.25">
      <c r="A704" s="26"/>
      <c r="B704" s="26"/>
    </row>
    <row r="705" spans="1:2" ht="15" x14ac:dyDescent="0.25">
      <c r="A705" s="26"/>
      <c r="B705" s="26"/>
    </row>
    <row r="706" spans="1:2" ht="15" x14ac:dyDescent="0.25">
      <c r="A706" s="26"/>
      <c r="B706" s="26"/>
    </row>
    <row r="707" spans="1:2" ht="15" x14ac:dyDescent="0.25">
      <c r="A707" s="26"/>
      <c r="B707" s="26"/>
    </row>
    <row r="708" spans="1:2" ht="15" x14ac:dyDescent="0.25">
      <c r="A708" s="26"/>
      <c r="B708" s="26"/>
    </row>
    <row r="709" spans="1:2" ht="15" x14ac:dyDescent="0.25">
      <c r="A709" s="26"/>
      <c r="B709" s="26"/>
    </row>
    <row r="710" spans="1:2" ht="15" x14ac:dyDescent="0.25">
      <c r="A710" s="26"/>
      <c r="B710" s="26"/>
    </row>
    <row r="711" spans="1:2" ht="15" x14ac:dyDescent="0.25">
      <c r="A711" s="26"/>
      <c r="B711" s="26"/>
    </row>
    <row r="712" spans="1:2" ht="15" x14ac:dyDescent="0.25">
      <c r="A712" s="26"/>
      <c r="B712" s="26"/>
    </row>
    <row r="713" spans="1:2" ht="15" x14ac:dyDescent="0.25">
      <c r="A713" s="26"/>
      <c r="B713" s="26"/>
    </row>
    <row r="714" spans="1:2" ht="15" x14ac:dyDescent="0.25">
      <c r="A714" s="26"/>
      <c r="B714" s="26"/>
    </row>
    <row r="715" spans="1:2" ht="15" x14ac:dyDescent="0.25">
      <c r="A715" s="26"/>
      <c r="B715" s="26"/>
    </row>
    <row r="716" spans="1:2" ht="15" x14ac:dyDescent="0.25">
      <c r="A716" s="26"/>
      <c r="B716" s="26"/>
    </row>
    <row r="717" spans="1:2" ht="15" x14ac:dyDescent="0.25">
      <c r="A717" s="26"/>
      <c r="B717" s="26"/>
    </row>
    <row r="718" spans="1:2" ht="15" x14ac:dyDescent="0.25">
      <c r="A718" s="26"/>
      <c r="B718" s="26"/>
    </row>
    <row r="719" spans="1:2" ht="15" x14ac:dyDescent="0.25">
      <c r="A719" s="26"/>
      <c r="B719" s="26"/>
    </row>
    <row r="720" spans="1:2" ht="15" x14ac:dyDescent="0.25">
      <c r="A720" s="26"/>
      <c r="B720" s="26"/>
    </row>
    <row r="721" spans="1:2" ht="15" x14ac:dyDescent="0.25">
      <c r="A721" s="26"/>
      <c r="B721" s="26"/>
    </row>
    <row r="722" spans="1:2" ht="15" x14ac:dyDescent="0.25">
      <c r="A722" s="26"/>
      <c r="B722" s="26"/>
    </row>
    <row r="723" spans="1:2" ht="15" x14ac:dyDescent="0.25">
      <c r="A723" s="26"/>
      <c r="B723" s="26"/>
    </row>
    <row r="724" spans="1:2" ht="15" x14ac:dyDescent="0.25">
      <c r="A724" s="26"/>
      <c r="B724" s="26"/>
    </row>
    <row r="725" spans="1:2" ht="15" x14ac:dyDescent="0.25">
      <c r="A725" s="26"/>
      <c r="B725" s="26"/>
    </row>
    <row r="726" spans="1:2" ht="15" x14ac:dyDescent="0.25">
      <c r="A726" s="26"/>
      <c r="B726" s="26"/>
    </row>
    <row r="727" spans="1:2" ht="15" x14ac:dyDescent="0.25">
      <c r="A727" s="26"/>
      <c r="B727" s="26"/>
    </row>
    <row r="728" spans="1:2" ht="15" x14ac:dyDescent="0.25">
      <c r="A728" s="26"/>
      <c r="B728" s="26"/>
    </row>
    <row r="729" spans="1:2" ht="15" x14ac:dyDescent="0.25">
      <c r="A729" s="26"/>
      <c r="B729" s="26"/>
    </row>
    <row r="730" spans="1:2" ht="15" x14ac:dyDescent="0.25">
      <c r="A730" s="26"/>
      <c r="B730" s="26"/>
    </row>
    <row r="731" spans="1:2" ht="15" x14ac:dyDescent="0.25">
      <c r="A731" s="26"/>
      <c r="B731" s="26"/>
    </row>
    <row r="732" spans="1:2" ht="15" x14ac:dyDescent="0.25">
      <c r="A732" s="26"/>
      <c r="B732" s="26"/>
    </row>
    <row r="733" spans="1:2" ht="15" x14ac:dyDescent="0.25">
      <c r="A733" s="26"/>
      <c r="B733" s="26"/>
    </row>
    <row r="734" spans="1:2" ht="15" x14ac:dyDescent="0.25">
      <c r="A734" s="26"/>
      <c r="B734" s="26"/>
    </row>
    <row r="735" spans="1:2" ht="15" x14ac:dyDescent="0.25">
      <c r="A735" s="26"/>
      <c r="B735" s="26"/>
    </row>
    <row r="736" spans="1:2" ht="15" x14ac:dyDescent="0.25">
      <c r="A736" s="26"/>
      <c r="B736" s="26"/>
    </row>
    <row r="737" spans="1:2" ht="15" x14ac:dyDescent="0.25">
      <c r="A737" s="26"/>
      <c r="B737" s="26"/>
    </row>
    <row r="738" spans="1:2" ht="15" x14ac:dyDescent="0.25">
      <c r="A738" s="26"/>
      <c r="B738" s="26"/>
    </row>
    <row r="739" spans="1:2" ht="15" x14ac:dyDescent="0.25">
      <c r="A739" s="26"/>
      <c r="B739" s="26"/>
    </row>
    <row r="740" spans="1:2" ht="15" x14ac:dyDescent="0.25">
      <c r="A740" s="26"/>
      <c r="B740" s="26"/>
    </row>
    <row r="741" spans="1:2" ht="15" x14ac:dyDescent="0.25">
      <c r="A741" s="26"/>
      <c r="B741" s="26"/>
    </row>
    <row r="742" spans="1:2" ht="15" x14ac:dyDescent="0.25">
      <c r="A742" s="26"/>
      <c r="B742" s="26"/>
    </row>
    <row r="743" spans="1:2" ht="15" x14ac:dyDescent="0.25">
      <c r="A743" s="26"/>
      <c r="B743" s="26"/>
    </row>
    <row r="744" spans="1:2" ht="15" x14ac:dyDescent="0.25">
      <c r="A744" s="26"/>
      <c r="B744" s="26"/>
    </row>
    <row r="745" spans="1:2" ht="15" x14ac:dyDescent="0.25">
      <c r="A745" s="26"/>
      <c r="B745" s="26"/>
    </row>
    <row r="746" spans="1:2" ht="15" x14ac:dyDescent="0.25">
      <c r="A746" s="26"/>
      <c r="B746" s="26"/>
    </row>
    <row r="747" spans="1:2" ht="15" x14ac:dyDescent="0.25">
      <c r="A747" s="26"/>
      <c r="B747" s="26"/>
    </row>
    <row r="748" spans="1:2" ht="15" x14ac:dyDescent="0.25">
      <c r="A748" s="26"/>
      <c r="B748" s="26"/>
    </row>
    <row r="749" spans="1:2" ht="15" x14ac:dyDescent="0.25">
      <c r="A749" s="26"/>
      <c r="B749" s="26"/>
    </row>
    <row r="750" spans="1:2" ht="15" x14ac:dyDescent="0.25">
      <c r="A750" s="26"/>
      <c r="B750" s="26"/>
    </row>
    <row r="751" spans="1:2" ht="15" x14ac:dyDescent="0.25">
      <c r="A751" s="26"/>
      <c r="B751" s="26"/>
    </row>
    <row r="752" spans="1:2" ht="15" x14ac:dyDescent="0.25">
      <c r="A752" s="26"/>
      <c r="B752" s="26"/>
    </row>
    <row r="753" spans="1:2" ht="15" x14ac:dyDescent="0.25">
      <c r="A753" s="26"/>
      <c r="B753" s="26"/>
    </row>
    <row r="754" spans="1:2" ht="15" x14ac:dyDescent="0.25">
      <c r="A754" s="26"/>
      <c r="B754" s="26"/>
    </row>
    <row r="755" spans="1:2" ht="15" x14ac:dyDescent="0.25">
      <c r="A755" s="26"/>
      <c r="B755" s="26"/>
    </row>
    <row r="756" spans="1:2" ht="15" x14ac:dyDescent="0.25">
      <c r="A756" s="26"/>
      <c r="B756" s="26"/>
    </row>
    <row r="757" spans="1:2" ht="15" x14ac:dyDescent="0.25">
      <c r="A757" s="26"/>
      <c r="B757" s="26"/>
    </row>
    <row r="758" spans="1:2" ht="15" x14ac:dyDescent="0.25">
      <c r="A758" s="26"/>
      <c r="B758" s="26"/>
    </row>
    <row r="759" spans="1:2" ht="15" x14ac:dyDescent="0.25">
      <c r="A759" s="26"/>
      <c r="B759" s="26"/>
    </row>
    <row r="760" spans="1:2" ht="15" x14ac:dyDescent="0.25">
      <c r="A760" s="26"/>
      <c r="B760" s="26"/>
    </row>
    <row r="761" spans="1:2" ht="15" x14ac:dyDescent="0.25">
      <c r="A761" s="26"/>
      <c r="B761" s="26"/>
    </row>
    <row r="762" spans="1:2" ht="15" x14ac:dyDescent="0.25">
      <c r="A762" s="26"/>
      <c r="B762" s="26"/>
    </row>
    <row r="763" spans="1:2" ht="15" x14ac:dyDescent="0.25">
      <c r="A763" s="26"/>
      <c r="B763" s="26"/>
    </row>
    <row r="764" spans="1:2" ht="15" x14ac:dyDescent="0.25">
      <c r="A764" s="26"/>
      <c r="B764" s="26"/>
    </row>
    <row r="765" spans="1:2" ht="15" x14ac:dyDescent="0.25">
      <c r="A765" s="26"/>
      <c r="B765" s="26"/>
    </row>
    <row r="766" spans="1:2" ht="15" x14ac:dyDescent="0.25">
      <c r="A766" s="26"/>
      <c r="B766" s="26"/>
    </row>
    <row r="767" spans="1:2" ht="15" x14ac:dyDescent="0.25">
      <c r="A767" s="26"/>
      <c r="B767" s="26"/>
    </row>
    <row r="768" spans="1:2" ht="15" x14ac:dyDescent="0.25">
      <c r="A768" s="26"/>
      <c r="B768" s="26"/>
    </row>
    <row r="769" spans="1:2" ht="15" x14ac:dyDescent="0.25">
      <c r="A769" s="26"/>
      <c r="B769" s="26"/>
    </row>
    <row r="770" spans="1:2" ht="15" x14ac:dyDescent="0.25">
      <c r="A770" s="26"/>
      <c r="B770" s="26"/>
    </row>
    <row r="771" spans="1:2" ht="15" x14ac:dyDescent="0.25">
      <c r="A771" s="26"/>
      <c r="B771" s="26"/>
    </row>
    <row r="772" spans="1:2" ht="15" x14ac:dyDescent="0.25">
      <c r="A772" s="26"/>
      <c r="B772" s="26"/>
    </row>
    <row r="773" spans="1:2" ht="15" x14ac:dyDescent="0.25">
      <c r="A773" s="26"/>
      <c r="B773" s="26"/>
    </row>
    <row r="774" spans="1:2" ht="15" x14ac:dyDescent="0.25">
      <c r="A774" s="26"/>
      <c r="B774" s="26"/>
    </row>
    <row r="775" spans="1:2" ht="15" x14ac:dyDescent="0.25">
      <c r="A775" s="26"/>
      <c r="B775" s="26"/>
    </row>
    <row r="776" spans="1:2" ht="15" x14ac:dyDescent="0.25">
      <c r="A776" s="26"/>
      <c r="B776" s="26"/>
    </row>
    <row r="777" spans="1:2" ht="15" x14ac:dyDescent="0.25">
      <c r="A777" s="26"/>
      <c r="B777" s="26"/>
    </row>
    <row r="778" spans="1:2" ht="15" x14ac:dyDescent="0.25">
      <c r="A778" s="26"/>
      <c r="B778" s="26"/>
    </row>
    <row r="779" spans="1:2" ht="15" x14ac:dyDescent="0.25">
      <c r="A779" s="26"/>
      <c r="B779" s="26"/>
    </row>
    <row r="780" spans="1:2" ht="15" x14ac:dyDescent="0.25">
      <c r="A780" s="26"/>
      <c r="B780" s="26"/>
    </row>
    <row r="781" spans="1:2" ht="15" x14ac:dyDescent="0.25">
      <c r="A781" s="26"/>
      <c r="B781" s="26"/>
    </row>
    <row r="782" spans="1:2" ht="15" x14ac:dyDescent="0.25">
      <c r="A782" s="26"/>
      <c r="B782" s="26"/>
    </row>
    <row r="783" spans="1:2" ht="15" x14ac:dyDescent="0.25">
      <c r="A783" s="26"/>
      <c r="B783" s="26"/>
    </row>
    <row r="784" spans="1:2" ht="15" x14ac:dyDescent="0.25">
      <c r="A784" s="26"/>
      <c r="B784" s="26"/>
    </row>
    <row r="785" spans="1:2" ht="15" x14ac:dyDescent="0.25">
      <c r="A785" s="26"/>
      <c r="B785" s="26"/>
    </row>
    <row r="786" spans="1:2" ht="15" x14ac:dyDescent="0.25">
      <c r="A786" s="26"/>
      <c r="B786" s="26"/>
    </row>
    <row r="787" spans="1:2" ht="15" x14ac:dyDescent="0.25">
      <c r="A787" s="26"/>
      <c r="B787" s="26"/>
    </row>
    <row r="788" spans="1:2" ht="15" x14ac:dyDescent="0.25">
      <c r="A788" s="26"/>
      <c r="B788" s="26"/>
    </row>
    <row r="789" spans="1:2" ht="15" x14ac:dyDescent="0.25">
      <c r="A789" s="26"/>
      <c r="B789" s="26"/>
    </row>
    <row r="790" spans="1:2" ht="15" x14ac:dyDescent="0.25">
      <c r="A790" s="26"/>
      <c r="B790" s="26"/>
    </row>
    <row r="791" spans="1:2" ht="15" x14ac:dyDescent="0.25">
      <c r="A791" s="26"/>
      <c r="B791" s="26"/>
    </row>
    <row r="792" spans="1:2" ht="15" x14ac:dyDescent="0.25">
      <c r="A792" s="26"/>
      <c r="B792" s="26"/>
    </row>
    <row r="793" spans="1:2" ht="15" x14ac:dyDescent="0.25">
      <c r="A793" s="26"/>
      <c r="B793" s="26"/>
    </row>
    <row r="794" spans="1:2" ht="15" x14ac:dyDescent="0.25">
      <c r="A794" s="26"/>
      <c r="B794" s="26"/>
    </row>
    <row r="795" spans="1:2" ht="15" x14ac:dyDescent="0.25">
      <c r="A795" s="26"/>
      <c r="B795" s="26"/>
    </row>
    <row r="796" spans="1:2" ht="15" x14ac:dyDescent="0.25">
      <c r="A796" s="26"/>
      <c r="B796" s="26"/>
    </row>
    <row r="797" spans="1:2" ht="15" x14ac:dyDescent="0.25">
      <c r="A797" s="26"/>
      <c r="B797" s="26"/>
    </row>
    <row r="798" spans="1:2" ht="15" x14ac:dyDescent="0.25">
      <c r="A798" s="26"/>
      <c r="B798" s="26"/>
    </row>
    <row r="799" spans="1:2" ht="15" x14ac:dyDescent="0.25">
      <c r="A799" s="26"/>
      <c r="B799" s="26"/>
    </row>
    <row r="800" spans="1:2" ht="15" x14ac:dyDescent="0.25">
      <c r="A800" s="26"/>
      <c r="B800" s="26"/>
    </row>
    <row r="801" spans="1:2" ht="15" x14ac:dyDescent="0.25">
      <c r="A801" s="26"/>
      <c r="B801" s="26"/>
    </row>
    <row r="802" spans="1:2" ht="15" x14ac:dyDescent="0.25">
      <c r="A802" s="26"/>
      <c r="B802" s="26"/>
    </row>
    <row r="803" spans="1:2" ht="15" x14ac:dyDescent="0.25">
      <c r="A803" s="26"/>
      <c r="B803" s="26"/>
    </row>
    <row r="804" spans="1:2" ht="15" x14ac:dyDescent="0.25">
      <c r="A804" s="26"/>
      <c r="B804" s="26"/>
    </row>
    <row r="805" spans="1:2" ht="15" x14ac:dyDescent="0.25">
      <c r="A805" s="26"/>
      <c r="B805" s="26"/>
    </row>
    <row r="806" spans="1:2" ht="15" x14ac:dyDescent="0.25">
      <c r="A806" s="26"/>
      <c r="B806" s="26"/>
    </row>
    <row r="807" spans="1:2" ht="15" x14ac:dyDescent="0.25">
      <c r="A807" s="26"/>
      <c r="B807" s="26"/>
    </row>
    <row r="808" spans="1:2" ht="15" x14ac:dyDescent="0.25">
      <c r="A808" s="26"/>
      <c r="B808" s="26"/>
    </row>
    <row r="809" spans="1:2" ht="15" x14ac:dyDescent="0.25">
      <c r="A809" s="26"/>
      <c r="B809" s="26"/>
    </row>
    <row r="810" spans="1:2" ht="15" x14ac:dyDescent="0.25">
      <c r="A810" s="26"/>
      <c r="B810" s="26"/>
    </row>
    <row r="811" spans="1:2" ht="15" x14ac:dyDescent="0.25">
      <c r="A811" s="26"/>
      <c r="B811" s="26"/>
    </row>
    <row r="812" spans="1:2" ht="15" x14ac:dyDescent="0.25">
      <c r="A812" s="26"/>
      <c r="B812" s="26"/>
    </row>
    <row r="813" spans="1:2" ht="15" x14ac:dyDescent="0.25">
      <c r="A813" s="26"/>
      <c r="B813" s="26"/>
    </row>
    <row r="814" spans="1:2" ht="15" x14ac:dyDescent="0.25">
      <c r="A814" s="26"/>
      <c r="B814" s="26"/>
    </row>
    <row r="815" spans="1:2" ht="15" x14ac:dyDescent="0.25">
      <c r="A815" s="26"/>
      <c r="B815" s="26"/>
    </row>
    <row r="816" spans="1:2" ht="15" x14ac:dyDescent="0.25">
      <c r="A816" s="26"/>
      <c r="B816" s="26"/>
    </row>
    <row r="817" spans="1:2" ht="15" x14ac:dyDescent="0.25">
      <c r="A817" s="26"/>
      <c r="B817" s="26"/>
    </row>
    <row r="818" spans="1:2" ht="15" x14ac:dyDescent="0.25">
      <c r="A818" s="26"/>
      <c r="B818" s="26"/>
    </row>
    <row r="819" spans="1:2" ht="15" x14ac:dyDescent="0.25">
      <c r="A819" s="26"/>
      <c r="B819" s="26"/>
    </row>
    <row r="820" spans="1:2" ht="15" x14ac:dyDescent="0.25">
      <c r="A820" s="26"/>
      <c r="B820" s="26"/>
    </row>
    <row r="821" spans="1:2" ht="15" x14ac:dyDescent="0.25">
      <c r="A821" s="26"/>
      <c r="B821" s="26"/>
    </row>
    <row r="822" spans="1:2" ht="15" x14ac:dyDescent="0.25">
      <c r="A822" s="26"/>
      <c r="B822" s="26"/>
    </row>
    <row r="823" spans="1:2" ht="15" x14ac:dyDescent="0.25">
      <c r="A823" s="26"/>
      <c r="B823" s="26"/>
    </row>
    <row r="824" spans="1:2" ht="15" x14ac:dyDescent="0.25">
      <c r="A824" s="26"/>
      <c r="B824" s="26"/>
    </row>
    <row r="825" spans="1:2" ht="15" x14ac:dyDescent="0.25">
      <c r="A825" s="26"/>
      <c r="B825" s="26"/>
    </row>
    <row r="826" spans="1:2" ht="15" x14ac:dyDescent="0.25">
      <c r="A826" s="26"/>
      <c r="B826" s="26"/>
    </row>
    <row r="827" spans="1:2" ht="15" x14ac:dyDescent="0.25">
      <c r="A827" s="26"/>
      <c r="B827" s="26"/>
    </row>
    <row r="828" spans="1:2" ht="15" x14ac:dyDescent="0.25">
      <c r="A828" s="26"/>
      <c r="B828" s="26"/>
    </row>
    <row r="829" spans="1:2" ht="15" x14ac:dyDescent="0.25">
      <c r="A829" s="26"/>
      <c r="B829" s="26"/>
    </row>
    <row r="830" spans="1:2" ht="15" x14ac:dyDescent="0.25">
      <c r="A830" s="26"/>
      <c r="B830" s="26"/>
    </row>
    <row r="831" spans="1:2" ht="15" x14ac:dyDescent="0.25">
      <c r="A831" s="26"/>
      <c r="B831" s="26"/>
    </row>
    <row r="832" spans="1:2" ht="15" x14ac:dyDescent="0.25">
      <c r="A832" s="26"/>
      <c r="B832" s="26"/>
    </row>
    <row r="833" spans="1:2" ht="15" x14ac:dyDescent="0.25">
      <c r="A833" s="26"/>
      <c r="B833" s="26"/>
    </row>
    <row r="834" spans="1:2" ht="15" x14ac:dyDescent="0.25">
      <c r="A834" s="26"/>
      <c r="B834" s="26"/>
    </row>
    <row r="835" spans="1:2" ht="15" x14ac:dyDescent="0.25">
      <c r="A835" s="26"/>
      <c r="B835" s="26"/>
    </row>
    <row r="836" spans="1:2" ht="15" x14ac:dyDescent="0.25">
      <c r="A836" s="26"/>
      <c r="B836" s="26"/>
    </row>
    <row r="837" spans="1:2" ht="15" x14ac:dyDescent="0.25">
      <c r="A837" s="26"/>
      <c r="B837" s="26"/>
    </row>
    <row r="838" spans="1:2" ht="15" x14ac:dyDescent="0.25">
      <c r="A838" s="26"/>
      <c r="B838" s="26"/>
    </row>
    <row r="839" spans="1:2" ht="15" x14ac:dyDescent="0.25">
      <c r="A839" s="26"/>
      <c r="B839" s="26"/>
    </row>
    <row r="840" spans="1:2" ht="15" x14ac:dyDescent="0.25">
      <c r="A840" s="26"/>
      <c r="B840" s="26"/>
    </row>
    <row r="841" spans="1:2" ht="15" x14ac:dyDescent="0.25">
      <c r="A841" s="26"/>
      <c r="B841" s="26"/>
    </row>
    <row r="842" spans="1:2" ht="15" x14ac:dyDescent="0.25">
      <c r="A842" s="26"/>
      <c r="B842" s="26"/>
    </row>
    <row r="843" spans="1:2" ht="15" x14ac:dyDescent="0.25">
      <c r="A843" s="26"/>
      <c r="B843" s="26"/>
    </row>
    <row r="844" spans="1:2" ht="15" x14ac:dyDescent="0.25">
      <c r="A844" s="26"/>
      <c r="B844" s="26"/>
    </row>
    <row r="845" spans="1:2" ht="15" x14ac:dyDescent="0.25">
      <c r="A845" s="26"/>
      <c r="B845" s="26"/>
    </row>
    <row r="846" spans="1:2" ht="15" x14ac:dyDescent="0.25">
      <c r="A846" s="26"/>
      <c r="B846" s="26"/>
    </row>
    <row r="847" spans="1:2" ht="15" x14ac:dyDescent="0.25">
      <c r="A847" s="26"/>
      <c r="B847" s="26"/>
    </row>
    <row r="848" spans="1:2" ht="15" x14ac:dyDescent="0.25">
      <c r="A848" s="26"/>
      <c r="B848" s="26"/>
    </row>
    <row r="849" spans="1:2" ht="15" x14ac:dyDescent="0.25">
      <c r="A849" s="26"/>
      <c r="B849" s="26"/>
    </row>
    <row r="850" spans="1:2" ht="15" x14ac:dyDescent="0.25">
      <c r="A850" s="26"/>
      <c r="B850" s="26"/>
    </row>
    <row r="851" spans="1:2" ht="15" x14ac:dyDescent="0.25">
      <c r="A851" s="26"/>
      <c r="B851" s="26"/>
    </row>
    <row r="852" spans="1:2" ht="15" x14ac:dyDescent="0.25">
      <c r="A852" s="26"/>
      <c r="B852" s="26"/>
    </row>
    <row r="853" spans="1:2" ht="15" x14ac:dyDescent="0.25">
      <c r="A853" s="26"/>
      <c r="B853" s="26"/>
    </row>
    <row r="854" spans="1:2" ht="15" x14ac:dyDescent="0.25">
      <c r="A854" s="26"/>
      <c r="B854" s="26"/>
    </row>
    <row r="855" spans="1:2" ht="15" x14ac:dyDescent="0.25">
      <c r="A855" s="26"/>
      <c r="B855" s="26"/>
    </row>
    <row r="856" spans="1:2" ht="15" x14ac:dyDescent="0.25">
      <c r="A856" s="26"/>
      <c r="B856" s="26"/>
    </row>
    <row r="857" spans="1:2" ht="15" x14ac:dyDescent="0.25">
      <c r="A857" s="26"/>
      <c r="B857" s="26"/>
    </row>
    <row r="858" spans="1:2" ht="15" x14ac:dyDescent="0.25">
      <c r="A858" s="26"/>
      <c r="B858" s="26"/>
    </row>
    <row r="859" spans="1:2" ht="15" x14ac:dyDescent="0.25">
      <c r="A859" s="26"/>
      <c r="B859" s="26"/>
    </row>
    <row r="860" spans="1:2" ht="15" x14ac:dyDescent="0.25">
      <c r="A860" s="26"/>
      <c r="B860" s="26"/>
    </row>
    <row r="861" spans="1:2" ht="15" x14ac:dyDescent="0.25">
      <c r="A861" s="26"/>
      <c r="B861" s="26"/>
    </row>
    <row r="862" spans="1:2" ht="15" x14ac:dyDescent="0.25">
      <c r="A862" s="26"/>
      <c r="B862" s="26"/>
    </row>
    <row r="863" spans="1:2" ht="15" x14ac:dyDescent="0.25">
      <c r="A863" s="26"/>
      <c r="B863" s="26"/>
    </row>
    <row r="864" spans="1:2" ht="15" x14ac:dyDescent="0.25">
      <c r="A864" s="26"/>
      <c r="B864" s="26"/>
    </row>
    <row r="865" spans="1:2" ht="15" x14ac:dyDescent="0.25">
      <c r="A865" s="26"/>
      <c r="B865" s="26"/>
    </row>
    <row r="866" spans="1:2" ht="15" x14ac:dyDescent="0.25">
      <c r="A866" s="26"/>
      <c r="B866" s="26"/>
    </row>
    <row r="867" spans="1:2" ht="15" x14ac:dyDescent="0.25">
      <c r="A867" s="26"/>
      <c r="B867" s="26"/>
    </row>
    <row r="868" spans="1:2" ht="15" x14ac:dyDescent="0.25">
      <c r="A868" s="26"/>
      <c r="B868" s="26"/>
    </row>
    <row r="869" spans="1:2" ht="15" x14ac:dyDescent="0.25">
      <c r="A869" s="26"/>
      <c r="B869" s="26"/>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election activeCell="A2" sqref="A2:D2"/>
    </sheetView>
  </sheetViews>
  <sheetFormatPr defaultRowHeight="15" x14ac:dyDescent="0.2"/>
  <cols>
    <col min="1" max="1" width="8.77734375" customWidth="1"/>
    <col min="2" max="2" width="9.109375" bestFit="1" customWidth="1"/>
    <col min="3" max="3" width="8.44140625" bestFit="1" customWidth="1"/>
    <col min="4" max="4" width="59.44140625" bestFit="1" customWidth="1"/>
    <col min="5" max="5" width="7.33203125" bestFit="1" customWidth="1"/>
    <col min="6" max="6" width="9.77734375" customWidth="1"/>
    <col min="7" max="7" width="6.88671875" bestFit="1" customWidth="1"/>
    <col min="8" max="8" width="11.33203125" bestFit="1" customWidth="1"/>
    <col min="9" max="9" width="7.44140625" bestFit="1" customWidth="1"/>
  </cols>
  <sheetData>
    <row r="2" spans="1:9" ht="15.75" x14ac:dyDescent="0.25">
      <c r="A2" s="197" t="s">
        <v>282</v>
      </c>
      <c r="B2" s="198"/>
      <c r="C2" s="198"/>
      <c r="D2" s="198"/>
    </row>
    <row r="4" spans="1:9" ht="36.75" thickBot="1" x14ac:dyDescent="0.25">
      <c r="A4" s="144" t="s">
        <v>99</v>
      </c>
      <c r="B4" s="144" t="s">
        <v>196</v>
      </c>
      <c r="C4" s="144" t="s">
        <v>249</v>
      </c>
      <c r="D4" s="144" t="s">
        <v>256</v>
      </c>
      <c r="E4" s="144" t="s">
        <v>197</v>
      </c>
      <c r="F4" s="144" t="s">
        <v>198</v>
      </c>
      <c r="G4" s="145" t="s">
        <v>199</v>
      </c>
      <c r="H4" s="146" t="s">
        <v>200</v>
      </c>
      <c r="I4" s="146" t="s">
        <v>275</v>
      </c>
    </row>
    <row r="5" spans="1:9" ht="15.75" thickTop="1" x14ac:dyDescent="0.2">
      <c r="A5" s="42">
        <v>1</v>
      </c>
      <c r="B5" s="42" t="s">
        <v>190</v>
      </c>
      <c r="C5" s="42" t="s">
        <v>252</v>
      </c>
      <c r="D5" s="163" t="s">
        <v>191</v>
      </c>
      <c r="E5" s="42">
        <v>3</v>
      </c>
      <c r="F5" s="42">
        <v>1</v>
      </c>
      <c r="G5" s="178">
        <v>2.4388836091576491E-4</v>
      </c>
      <c r="H5" s="147">
        <v>17529.475940820601</v>
      </c>
      <c r="I5" s="147">
        <v>17529.475940820601</v>
      </c>
    </row>
    <row r="6" spans="1:9" x14ac:dyDescent="0.2">
      <c r="A6" s="44"/>
      <c r="B6" s="44"/>
      <c r="C6" s="44" t="s">
        <v>250</v>
      </c>
      <c r="D6" s="164" t="s">
        <v>212</v>
      </c>
      <c r="E6" s="44">
        <v>876.24000000000024</v>
      </c>
      <c r="F6" s="44">
        <v>770</v>
      </c>
      <c r="G6" s="179">
        <v>7.1234912456276639E-2</v>
      </c>
      <c r="H6" s="148">
        <v>5120009.3327948833</v>
      </c>
      <c r="I6" s="148">
        <v>6649.3627698634846</v>
      </c>
    </row>
    <row r="7" spans="1:9" x14ac:dyDescent="0.2">
      <c r="A7" s="42"/>
      <c r="B7" s="42" t="s">
        <v>202</v>
      </c>
      <c r="C7" s="42" t="s">
        <v>260</v>
      </c>
      <c r="D7" s="163" t="s">
        <v>66</v>
      </c>
      <c r="E7" s="42">
        <v>21.900000000000002</v>
      </c>
      <c r="F7" s="42">
        <v>22</v>
      </c>
      <c r="G7" s="178">
        <v>1.780385034685084E-3</v>
      </c>
      <c r="H7" s="147">
        <v>127965.17436799042</v>
      </c>
      <c r="I7" s="147">
        <v>5816.5988349086556</v>
      </c>
    </row>
    <row r="8" spans="1:9" x14ac:dyDescent="0.2">
      <c r="A8" s="44"/>
      <c r="B8" s="44"/>
      <c r="C8" s="44" t="s">
        <v>261</v>
      </c>
      <c r="D8" s="164" t="s">
        <v>220</v>
      </c>
      <c r="E8" s="44">
        <v>346.30000000000007</v>
      </c>
      <c r="F8" s="44">
        <v>348</v>
      </c>
      <c r="G8" s="179">
        <v>2.8152846461709801E-2</v>
      </c>
      <c r="H8" s="148">
        <v>2023485.8394353921</v>
      </c>
      <c r="I8" s="148">
        <v>5814.6144811361837</v>
      </c>
    </row>
    <row r="9" spans="1:9" x14ac:dyDescent="0.2">
      <c r="A9" s="80" t="s">
        <v>213</v>
      </c>
      <c r="B9" s="80"/>
      <c r="C9" s="80"/>
      <c r="D9" s="166"/>
      <c r="E9" s="80">
        <v>1247.440000000001</v>
      </c>
      <c r="F9" s="80">
        <v>1141</v>
      </c>
      <c r="G9" s="180">
        <v>0.10141203231358734</v>
      </c>
      <c r="H9" s="149">
        <v>7288989.8225390902</v>
      </c>
      <c r="I9" s="149">
        <v>6388.2469960903509</v>
      </c>
    </row>
    <row r="10" spans="1:9" x14ac:dyDescent="0.2">
      <c r="A10" s="44">
        <v>2</v>
      </c>
      <c r="B10" s="44" t="s">
        <v>189</v>
      </c>
      <c r="C10" s="44" t="s">
        <v>251</v>
      </c>
      <c r="D10" s="164" t="s">
        <v>214</v>
      </c>
      <c r="E10" s="44">
        <v>56.400000000000006</v>
      </c>
      <c r="F10" s="44">
        <v>21</v>
      </c>
      <c r="G10" s="179">
        <v>4.5851011852163807E-3</v>
      </c>
      <c r="H10" s="148">
        <v>329554.14768742735</v>
      </c>
      <c r="I10" s="148">
        <v>15693.054651782255</v>
      </c>
    </row>
    <row r="11" spans="1:9" x14ac:dyDescent="0.2">
      <c r="A11" s="42"/>
      <c r="B11" s="42"/>
      <c r="C11" s="42" t="s">
        <v>258</v>
      </c>
      <c r="D11" s="163" t="s">
        <v>221</v>
      </c>
      <c r="E11" s="42">
        <v>75.299999999999983</v>
      </c>
      <c r="F11" s="42">
        <v>38</v>
      </c>
      <c r="G11" s="178">
        <v>6.121597858985698E-3</v>
      </c>
      <c r="H11" s="147">
        <v>439989.84611459705</v>
      </c>
      <c r="I11" s="147">
        <v>11578.68016091045</v>
      </c>
    </row>
    <row r="12" spans="1:9" x14ac:dyDescent="0.2">
      <c r="A12" s="44"/>
      <c r="B12" s="44"/>
      <c r="C12" s="44" t="s">
        <v>262</v>
      </c>
      <c r="D12" s="164" t="s">
        <v>224</v>
      </c>
      <c r="E12" s="44">
        <v>90.300000000000026</v>
      </c>
      <c r="F12" s="44">
        <v>44</v>
      </c>
      <c r="G12" s="179">
        <v>7.341039663564526E-3</v>
      </c>
      <c r="H12" s="148">
        <v>527637.22581870027</v>
      </c>
      <c r="I12" s="148">
        <v>11991.755132243188</v>
      </c>
    </row>
    <row r="13" spans="1:9" x14ac:dyDescent="0.2">
      <c r="A13" s="42"/>
      <c r="B13" s="42"/>
      <c r="C13" s="42" t="s">
        <v>252</v>
      </c>
      <c r="D13" s="163" t="s">
        <v>191</v>
      </c>
      <c r="E13" s="42">
        <v>47.599999999999994</v>
      </c>
      <c r="F13" s="42">
        <v>31</v>
      </c>
      <c r="G13" s="178">
        <v>3.8696953265301361E-3</v>
      </c>
      <c r="H13" s="147">
        <v>278134.3515943535</v>
      </c>
      <c r="I13" s="147">
        <v>8972.0758578823716</v>
      </c>
    </row>
    <row r="14" spans="1:9" x14ac:dyDescent="0.2">
      <c r="A14" s="44"/>
      <c r="B14" s="44"/>
      <c r="C14" s="44" t="s">
        <v>264</v>
      </c>
      <c r="D14" s="164" t="s">
        <v>192</v>
      </c>
      <c r="E14" s="44">
        <v>376.20000000000016</v>
      </c>
      <c r="F14" s="44">
        <v>173</v>
      </c>
      <c r="G14" s="179">
        <v>3.0583600458836933E-2</v>
      </c>
      <c r="H14" s="148">
        <v>2198196.2829789044</v>
      </c>
      <c r="I14" s="148">
        <v>12706.336895831817</v>
      </c>
    </row>
    <row r="15" spans="1:9" x14ac:dyDescent="0.2">
      <c r="A15" s="42"/>
      <c r="B15" s="42" t="s">
        <v>203</v>
      </c>
      <c r="C15" s="42" t="s">
        <v>254</v>
      </c>
      <c r="D15" s="42" t="s">
        <v>217</v>
      </c>
      <c r="E15" s="42">
        <v>36.599999999999987</v>
      </c>
      <c r="F15" s="42">
        <v>22</v>
      </c>
      <c r="G15" s="178">
        <v>2.9754380031723308E-3</v>
      </c>
      <c r="H15" s="147">
        <v>213859.60647801129</v>
      </c>
      <c r="I15" s="147">
        <v>9720.8912035459671</v>
      </c>
    </row>
    <row r="16" spans="1:9" x14ac:dyDescent="0.2">
      <c r="A16" s="44"/>
      <c r="B16" s="44"/>
      <c r="C16" s="44" t="s">
        <v>252</v>
      </c>
      <c r="D16" s="164" t="s">
        <v>191</v>
      </c>
      <c r="E16" s="44">
        <v>1564.200000000003</v>
      </c>
      <c r="F16" s="44">
        <v>816</v>
      </c>
      <c r="G16" s="179">
        <v>0.12716339138148006</v>
      </c>
      <c r="H16" s="148">
        <v>9139868.7555438783</v>
      </c>
      <c r="I16" s="148">
        <v>11200.819553362597</v>
      </c>
    </row>
    <row r="17" spans="1:9" x14ac:dyDescent="0.2">
      <c r="A17" s="42"/>
      <c r="B17" s="42" t="s">
        <v>204</v>
      </c>
      <c r="C17" s="42" t="s">
        <v>254</v>
      </c>
      <c r="D17" s="163" t="s">
        <v>217</v>
      </c>
      <c r="E17" s="42">
        <v>9</v>
      </c>
      <c r="F17" s="42">
        <v>3</v>
      </c>
      <c r="G17" s="178">
        <v>7.3166508274729474E-4</v>
      </c>
      <c r="H17" s="147">
        <v>52588.42782246181</v>
      </c>
      <c r="I17" s="147">
        <v>17529.475940820605</v>
      </c>
    </row>
    <row r="18" spans="1:9" x14ac:dyDescent="0.2">
      <c r="A18" s="44"/>
      <c r="B18" s="44"/>
      <c r="C18" s="44" t="s">
        <v>252</v>
      </c>
      <c r="D18" s="164" t="s">
        <v>191</v>
      </c>
      <c r="E18" s="44">
        <v>921.70000000000107</v>
      </c>
      <c r="F18" s="44">
        <v>306</v>
      </c>
      <c r="G18" s="179">
        <v>7.4930634085353595E-2</v>
      </c>
      <c r="H18" s="148">
        <v>5385639.32488479</v>
      </c>
      <c r="I18" s="148">
        <v>17600.128512695392</v>
      </c>
    </row>
    <row r="19" spans="1:9" x14ac:dyDescent="0.2">
      <c r="A19" s="80" t="s">
        <v>215</v>
      </c>
      <c r="B19" s="80"/>
      <c r="C19" s="80"/>
      <c r="D19" s="166"/>
      <c r="E19" s="80">
        <v>3177.3000000000011</v>
      </c>
      <c r="F19" s="80">
        <v>1454</v>
      </c>
      <c r="G19" s="180">
        <v>0.25830216304588671</v>
      </c>
      <c r="H19" s="149">
        <v>18565467.968923107</v>
      </c>
      <c r="I19" s="149">
        <v>12768.547433922357</v>
      </c>
    </row>
    <row r="20" spans="1:9" x14ac:dyDescent="0.2">
      <c r="A20" s="44">
        <v>2.5</v>
      </c>
      <c r="B20" s="44" t="s">
        <v>205</v>
      </c>
      <c r="C20" s="44" t="s">
        <v>253</v>
      </c>
      <c r="D20" s="164" t="s">
        <v>216</v>
      </c>
      <c r="E20" s="44">
        <v>742.1299999999992</v>
      </c>
      <c r="F20" s="44">
        <v>307</v>
      </c>
      <c r="G20" s="179">
        <v>6.0332289762138808E-2</v>
      </c>
      <c r="H20" s="148">
        <v>4336383.3266537264</v>
      </c>
      <c r="I20" s="148">
        <v>14125.027122650574</v>
      </c>
    </row>
    <row r="21" spans="1:9" x14ac:dyDescent="0.2">
      <c r="A21" s="42"/>
      <c r="B21" s="42"/>
      <c r="C21" s="42" t="s">
        <v>263</v>
      </c>
      <c r="D21" s="163" t="s">
        <v>225</v>
      </c>
      <c r="E21" s="42">
        <v>2.63</v>
      </c>
      <c r="F21" s="42">
        <v>1</v>
      </c>
      <c r="G21" s="178">
        <v>2.1380879640282057E-4</v>
      </c>
      <c r="H21" s="147">
        <v>15367.507241452729</v>
      </c>
      <c r="I21" s="147">
        <v>15367.507241452729</v>
      </c>
    </row>
    <row r="22" spans="1:9" x14ac:dyDescent="0.2">
      <c r="A22" s="44"/>
      <c r="B22" s="44"/>
      <c r="C22" s="44" t="s">
        <v>254</v>
      </c>
      <c r="D22" s="164" t="s">
        <v>217</v>
      </c>
      <c r="E22" s="44">
        <v>815.09999999999923</v>
      </c>
      <c r="F22" s="44">
        <v>310</v>
      </c>
      <c r="G22" s="179">
        <v>6.6264467660813259E-2</v>
      </c>
      <c r="H22" s="148">
        <v>4762758.6131209526</v>
      </c>
      <c r="I22" s="148">
        <v>15363.737461680492</v>
      </c>
    </row>
    <row r="23" spans="1:9" x14ac:dyDescent="0.2">
      <c r="A23" s="42"/>
      <c r="B23" s="42"/>
      <c r="C23" s="42" t="s">
        <v>268</v>
      </c>
      <c r="D23" s="163" t="s">
        <v>226</v>
      </c>
      <c r="E23" s="42">
        <v>68.740000000000023</v>
      </c>
      <c r="F23" s="42">
        <v>28</v>
      </c>
      <c r="G23" s="178">
        <v>5.5882953097832287E-3</v>
      </c>
      <c r="H23" s="147">
        <v>401658.72539066954</v>
      </c>
      <c r="I23" s="147">
        <v>14344.954478238198</v>
      </c>
    </row>
    <row r="24" spans="1:9" x14ac:dyDescent="0.2">
      <c r="A24" s="44"/>
      <c r="B24" s="44" t="s">
        <v>206</v>
      </c>
      <c r="C24" s="44" t="s">
        <v>254</v>
      </c>
      <c r="D24" s="164" t="s">
        <v>217</v>
      </c>
      <c r="E24" s="44">
        <v>133.26999999999987</v>
      </c>
      <c r="F24" s="44">
        <v>47</v>
      </c>
      <c r="G24" s="179">
        <v>1.0834333953081319E-2</v>
      </c>
      <c r="H24" s="148">
        <v>778717.75287771982</v>
      </c>
      <c r="I24" s="148">
        <v>16568.462827185529</v>
      </c>
    </row>
    <row r="25" spans="1:9" x14ac:dyDescent="0.2">
      <c r="A25" s="42"/>
      <c r="B25" s="42"/>
      <c r="C25" s="42" t="s">
        <v>255</v>
      </c>
      <c r="D25" s="163" t="s">
        <v>218</v>
      </c>
      <c r="E25" s="42">
        <v>3.75</v>
      </c>
      <c r="F25" s="42">
        <v>1</v>
      </c>
      <c r="G25" s="178">
        <v>3.0486045114470612E-4</v>
      </c>
      <c r="H25" s="147">
        <v>21911.844926025751</v>
      </c>
      <c r="I25" s="147">
        <v>21911.844926025751</v>
      </c>
    </row>
    <row r="26" spans="1:9" x14ac:dyDescent="0.2">
      <c r="A26" s="44"/>
      <c r="B26" s="44"/>
      <c r="C26" s="44" t="s">
        <v>270</v>
      </c>
      <c r="D26" s="164" t="s">
        <v>231</v>
      </c>
      <c r="E26" s="44">
        <v>78.439999999999984</v>
      </c>
      <c r="F26" s="44">
        <v>26</v>
      </c>
      <c r="G26" s="179">
        <v>6.3768676767441985E-3</v>
      </c>
      <c r="H26" s="148">
        <v>458337.36426598928</v>
      </c>
      <c r="I26" s="148">
        <v>17628.360164076512</v>
      </c>
    </row>
    <row r="27" spans="1:9" x14ac:dyDescent="0.2">
      <c r="A27" s="42"/>
      <c r="B27" s="42"/>
      <c r="C27" s="42" t="s">
        <v>271</v>
      </c>
      <c r="D27" s="163" t="s">
        <v>55</v>
      </c>
      <c r="E27" s="42">
        <v>94.149999999999991</v>
      </c>
      <c r="F27" s="42">
        <v>49</v>
      </c>
      <c r="G27" s="178">
        <v>7.6540297267397549E-3</v>
      </c>
      <c r="H27" s="147">
        <v>550133.38660941983</v>
      </c>
      <c r="I27" s="147">
        <v>11227.211971620813</v>
      </c>
    </row>
    <row r="28" spans="1:9" x14ac:dyDescent="0.2">
      <c r="A28" s="44"/>
      <c r="B28" s="44" t="s">
        <v>207</v>
      </c>
      <c r="C28" s="44" t="s">
        <v>272</v>
      </c>
      <c r="D28" s="164" t="s">
        <v>230</v>
      </c>
      <c r="E28" s="44">
        <v>21.399999999999995</v>
      </c>
      <c r="F28" s="44">
        <v>8</v>
      </c>
      <c r="G28" s="179">
        <v>1.739736974532456E-3</v>
      </c>
      <c r="H28" s="148">
        <v>125043.59504452028</v>
      </c>
      <c r="I28" s="148">
        <v>15630.449380565035</v>
      </c>
    </row>
    <row r="29" spans="1:9" x14ac:dyDescent="0.2">
      <c r="A29" s="42"/>
      <c r="B29" s="42" t="s">
        <v>208</v>
      </c>
      <c r="C29" s="42" t="s">
        <v>265</v>
      </c>
      <c r="D29" s="163" t="s">
        <v>223</v>
      </c>
      <c r="E29" s="42">
        <v>361.06999999999971</v>
      </c>
      <c r="F29" s="42">
        <v>129</v>
      </c>
      <c r="G29" s="178">
        <v>2.9353590158618388E-2</v>
      </c>
      <c r="H29" s="147">
        <v>2109789.2926506968</v>
      </c>
      <c r="I29" s="147">
        <v>16354.955756982146</v>
      </c>
    </row>
    <row r="30" spans="1:9" x14ac:dyDescent="0.2">
      <c r="A30" s="44"/>
      <c r="B30" s="44"/>
      <c r="C30" s="44" t="s">
        <v>254</v>
      </c>
      <c r="D30" s="164" t="s">
        <v>217</v>
      </c>
      <c r="E30" s="44">
        <v>8.629999999999999</v>
      </c>
      <c r="F30" s="44">
        <v>3</v>
      </c>
      <c r="G30" s="179">
        <v>7.015855182343503E-4</v>
      </c>
      <c r="H30" s="148">
        <v>50426.459123093926</v>
      </c>
      <c r="I30" s="148">
        <v>16808.819707697974</v>
      </c>
    </row>
    <row r="31" spans="1:9" x14ac:dyDescent="0.2">
      <c r="A31" s="42"/>
      <c r="B31" s="42" t="s">
        <v>209</v>
      </c>
      <c r="C31" s="42" t="s">
        <v>253</v>
      </c>
      <c r="D31" s="163" t="s">
        <v>216</v>
      </c>
      <c r="E31" s="42">
        <v>350.30999999999995</v>
      </c>
      <c r="F31" s="42">
        <v>96</v>
      </c>
      <c r="G31" s="178">
        <v>2.8478843904133865E-2</v>
      </c>
      <c r="H31" s="147">
        <v>2046916.9056096217</v>
      </c>
      <c r="I31" s="147">
        <v>21322.051100100227</v>
      </c>
    </row>
    <row r="32" spans="1:9" x14ac:dyDescent="0.2">
      <c r="A32" s="44"/>
      <c r="B32" s="44"/>
      <c r="C32" s="44" t="s">
        <v>263</v>
      </c>
      <c r="D32" s="164" t="s">
        <v>225</v>
      </c>
      <c r="E32" s="44">
        <v>15</v>
      </c>
      <c r="F32" s="44">
        <v>4</v>
      </c>
      <c r="G32" s="179">
        <v>1.2194418045788245E-3</v>
      </c>
      <c r="H32" s="148">
        <v>87647.379704103005</v>
      </c>
      <c r="I32" s="148">
        <v>21911.844926025751</v>
      </c>
    </row>
    <row r="33" spans="1:9" x14ac:dyDescent="0.2">
      <c r="A33" s="80" t="s">
        <v>219</v>
      </c>
      <c r="B33" s="80"/>
      <c r="C33" s="80"/>
      <c r="D33" s="166"/>
      <c r="E33" s="80">
        <v>2694.6200000000308</v>
      </c>
      <c r="F33" s="80">
        <v>1009</v>
      </c>
      <c r="G33" s="180">
        <v>0.21906215169694865</v>
      </c>
      <c r="H33" s="149">
        <v>15745092.153218184</v>
      </c>
      <c r="I33" s="149">
        <v>15604.650300513562</v>
      </c>
    </row>
    <row r="34" spans="1:9" x14ac:dyDescent="0.2">
      <c r="A34" s="151" t="s">
        <v>39</v>
      </c>
      <c r="B34" s="44"/>
      <c r="C34" s="44"/>
      <c r="D34" s="164"/>
      <c r="E34" s="151">
        <v>7119.3600000000733</v>
      </c>
      <c r="F34" s="151">
        <v>3604</v>
      </c>
      <c r="G34" s="181">
        <v>0.578776347056426</v>
      </c>
      <c r="H34" s="150">
        <v>41599549.944680616</v>
      </c>
      <c r="I34" s="150">
        <v>11542.605423052335</v>
      </c>
    </row>
  </sheetData>
  <mergeCells count="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B17" sqref="B17"/>
    </sheetView>
  </sheetViews>
  <sheetFormatPr defaultRowHeight="15" x14ac:dyDescent="0.2"/>
  <cols>
    <col min="1" max="1" width="13.77734375" customWidth="1"/>
    <col min="2" max="2" width="53.88671875" customWidth="1"/>
  </cols>
  <sheetData>
    <row r="1" spans="1:4" ht="15.75" x14ac:dyDescent="0.2">
      <c r="A1" s="153" t="s">
        <v>144</v>
      </c>
      <c r="B1" s="153"/>
      <c r="C1" s="154"/>
      <c r="D1" s="154"/>
    </row>
    <row r="2" spans="1:4" x14ac:dyDescent="0.2">
      <c r="A2" s="155"/>
      <c r="B2" s="155"/>
      <c r="C2" s="154"/>
      <c r="D2" s="154"/>
    </row>
    <row r="3" spans="1:4" ht="15.75" thickBot="1" x14ac:dyDescent="0.25">
      <c r="A3" s="156" t="s">
        <v>145</v>
      </c>
      <c r="B3" s="157" t="s">
        <v>146</v>
      </c>
      <c r="C3" s="154"/>
      <c r="D3" s="154"/>
    </row>
    <row r="4" spans="1:4" ht="15.75" thickTop="1" x14ac:dyDescent="0.2">
      <c r="A4" s="158">
        <v>1.1000000000000001</v>
      </c>
      <c r="B4" s="159" t="s">
        <v>147</v>
      </c>
      <c r="C4" s="154"/>
      <c r="D4" s="154"/>
    </row>
    <row r="5" spans="1:4" x14ac:dyDescent="0.2">
      <c r="A5" s="158">
        <v>1.2</v>
      </c>
      <c r="B5" s="159" t="s">
        <v>232</v>
      </c>
      <c r="C5" s="154"/>
      <c r="D5" s="154"/>
    </row>
    <row r="6" spans="1:4" x14ac:dyDescent="0.2">
      <c r="A6" s="158">
        <v>1.3</v>
      </c>
      <c r="B6" s="159" t="s">
        <v>148</v>
      </c>
      <c r="C6" s="154"/>
      <c r="D6" s="154"/>
    </row>
    <row r="7" spans="1:4" x14ac:dyDescent="0.2">
      <c r="A7" s="158">
        <v>1.4</v>
      </c>
      <c r="B7" s="159" t="s">
        <v>233</v>
      </c>
      <c r="C7" s="154"/>
      <c r="D7" s="154"/>
    </row>
    <row r="8" spans="1:4" x14ac:dyDescent="0.2">
      <c r="A8" s="158">
        <v>1.5</v>
      </c>
      <c r="B8" s="159" t="s">
        <v>234</v>
      </c>
      <c r="C8" s="154"/>
      <c r="D8" s="154"/>
    </row>
    <row r="9" spans="1:4" x14ac:dyDescent="0.2">
      <c r="A9" s="158">
        <v>1.6</v>
      </c>
      <c r="B9" s="159" t="s">
        <v>235</v>
      </c>
      <c r="C9" s="154"/>
      <c r="D9" s="154"/>
    </row>
    <row r="10" spans="1:4" ht="25.5" x14ac:dyDescent="0.2">
      <c r="A10" s="158">
        <v>1.7</v>
      </c>
      <c r="B10" s="159" t="s">
        <v>236</v>
      </c>
      <c r="C10" s="154"/>
      <c r="D10" s="154"/>
    </row>
    <row r="11" spans="1:4" x14ac:dyDescent="0.2">
      <c r="A11" s="158">
        <v>1.8</v>
      </c>
      <c r="B11" s="159" t="s">
        <v>149</v>
      </c>
      <c r="C11" s="154"/>
      <c r="D11" s="154"/>
    </row>
    <row r="12" spans="1:4" x14ac:dyDescent="0.2">
      <c r="A12" s="158">
        <v>1.9</v>
      </c>
      <c r="B12" s="159" t="s">
        <v>237</v>
      </c>
      <c r="C12" s="154"/>
      <c r="D12" s="154"/>
    </row>
    <row r="13" spans="1:4" ht="25.5" x14ac:dyDescent="0.2">
      <c r="A13" s="158">
        <v>2</v>
      </c>
      <c r="B13" s="159" t="s">
        <v>238</v>
      </c>
      <c r="C13" s="154"/>
      <c r="D13" s="154"/>
    </row>
    <row r="14" spans="1:4" ht="25.5" x14ac:dyDescent="0.2">
      <c r="A14" s="158">
        <v>2.1</v>
      </c>
      <c r="B14" s="159" t="s">
        <v>239</v>
      </c>
      <c r="C14" s="154"/>
      <c r="D14" s="154"/>
    </row>
    <row r="15" spans="1:4" ht="25.5" x14ac:dyDescent="0.2">
      <c r="A15" s="158">
        <v>2.2000000000000002</v>
      </c>
      <c r="B15" s="159" t="s">
        <v>240</v>
      </c>
      <c r="C15" s="154"/>
      <c r="D15" s="154"/>
    </row>
    <row r="16" spans="1:4" ht="25.5" x14ac:dyDescent="0.2">
      <c r="A16" s="158">
        <v>2.2999999999999998</v>
      </c>
      <c r="B16" s="159" t="s">
        <v>241</v>
      </c>
      <c r="C16" s="154"/>
      <c r="D16" s="154"/>
    </row>
    <row r="17" spans="1:14" ht="25.5" x14ac:dyDescent="0.2">
      <c r="A17" s="158">
        <v>2.4</v>
      </c>
      <c r="B17" s="159" t="s">
        <v>242</v>
      </c>
      <c r="C17" s="154"/>
      <c r="D17" s="154"/>
    </row>
    <row r="18" spans="1:14" x14ac:dyDescent="0.2">
      <c r="A18" s="158">
        <v>2.5</v>
      </c>
      <c r="B18" s="159" t="s">
        <v>243</v>
      </c>
      <c r="C18" s="154"/>
      <c r="D18" s="154"/>
    </row>
    <row r="19" spans="1:14" x14ac:dyDescent="0.2">
      <c r="A19" s="158">
        <v>2.6</v>
      </c>
      <c r="B19" s="160" t="s">
        <v>244</v>
      </c>
      <c r="C19" s="154"/>
      <c r="D19" s="160"/>
      <c r="E19" s="83"/>
      <c r="F19" s="83"/>
      <c r="G19" s="83"/>
      <c r="H19" s="83"/>
      <c r="I19" s="83"/>
      <c r="J19" s="83"/>
      <c r="K19" s="83"/>
      <c r="L19" s="83"/>
      <c r="M19" s="83"/>
      <c r="N19" s="83"/>
    </row>
    <row r="20" spans="1:14" x14ac:dyDescent="0.2">
      <c r="A20" s="158">
        <v>2.7</v>
      </c>
      <c r="B20" s="160" t="s">
        <v>246</v>
      </c>
      <c r="C20" s="154"/>
      <c r="D20" s="160"/>
      <c r="E20" s="83"/>
      <c r="F20" s="83"/>
      <c r="G20" s="83"/>
      <c r="H20" s="83"/>
      <c r="I20" s="83"/>
      <c r="J20" s="83"/>
      <c r="K20" s="83"/>
      <c r="L20" s="83"/>
      <c r="M20" s="83"/>
      <c r="N20" s="83"/>
    </row>
    <row r="21" spans="1:14" x14ac:dyDescent="0.2">
      <c r="A21" s="158">
        <v>2.8</v>
      </c>
      <c r="B21" s="160" t="s">
        <v>245</v>
      </c>
      <c r="C21" s="154"/>
      <c r="D21" s="160"/>
      <c r="E21" s="83"/>
      <c r="F21" s="83"/>
      <c r="G21" s="83"/>
      <c r="H21" s="83"/>
      <c r="I21" s="83"/>
      <c r="J21" s="83"/>
      <c r="K21" s="83"/>
      <c r="L21" s="83"/>
      <c r="M21" s="83"/>
      <c r="N21" s="83"/>
    </row>
    <row r="22" spans="1:14" x14ac:dyDescent="0.2">
      <c r="A22" s="158">
        <v>2.9</v>
      </c>
      <c r="B22" s="160" t="s">
        <v>247</v>
      </c>
      <c r="C22" s="154"/>
      <c r="D22" s="160"/>
      <c r="E22" s="83"/>
      <c r="F22" s="83"/>
      <c r="G22" s="83"/>
      <c r="H22" s="83"/>
      <c r="I22" s="83"/>
      <c r="J22" s="83"/>
      <c r="K22" s="83"/>
      <c r="L22" s="83"/>
      <c r="M22" s="83"/>
      <c r="N22" s="83"/>
    </row>
    <row r="23" spans="1:14" x14ac:dyDescent="0.2">
      <c r="A23" s="158">
        <v>3</v>
      </c>
      <c r="B23" s="160" t="s">
        <v>150</v>
      </c>
      <c r="C23" s="154"/>
      <c r="D23" s="160"/>
      <c r="E23" s="152"/>
      <c r="F23" s="83"/>
      <c r="G23" s="83"/>
      <c r="H23" s="83"/>
      <c r="I23" s="83"/>
      <c r="J23" s="83"/>
      <c r="K23" s="83"/>
      <c r="L23" s="83"/>
      <c r="M23" s="83"/>
      <c r="N23" s="83"/>
    </row>
    <row r="24" spans="1:14" x14ac:dyDescent="0.2">
      <c r="A24" s="158">
        <v>3.1</v>
      </c>
      <c r="B24" s="160" t="s">
        <v>151</v>
      </c>
      <c r="C24" s="154"/>
      <c r="D24" s="160"/>
      <c r="E24" s="83"/>
      <c r="F24" s="83"/>
      <c r="G24" s="83"/>
      <c r="H24" s="83"/>
      <c r="I24" s="83"/>
      <c r="J24" s="83"/>
      <c r="K24" s="83"/>
      <c r="L24" s="83"/>
      <c r="M24" s="83"/>
      <c r="N24" s="83"/>
    </row>
    <row r="25" spans="1:14" x14ac:dyDescent="0.2">
      <c r="A25" s="158">
        <v>3.2</v>
      </c>
      <c r="B25" s="160" t="s">
        <v>155</v>
      </c>
      <c r="C25" s="154"/>
      <c r="D25" s="160"/>
      <c r="E25" s="83"/>
      <c r="F25" s="83"/>
      <c r="G25" s="83"/>
      <c r="H25" s="83"/>
      <c r="I25" s="83"/>
      <c r="J25" s="83"/>
      <c r="K25" s="83"/>
      <c r="L25" s="83"/>
      <c r="M25" s="83"/>
      <c r="N25" s="83"/>
    </row>
    <row r="26" spans="1:14" x14ac:dyDescent="0.2">
      <c r="A26" s="158">
        <v>3.3</v>
      </c>
      <c r="B26" s="160" t="s">
        <v>152</v>
      </c>
      <c r="C26" s="154"/>
      <c r="D26" s="160"/>
      <c r="E26" s="83"/>
      <c r="F26" s="83"/>
      <c r="G26" s="83"/>
      <c r="H26" s="83"/>
      <c r="I26" s="83"/>
      <c r="J26" s="83"/>
      <c r="K26" s="83"/>
      <c r="L26" s="83"/>
      <c r="M26" s="83"/>
      <c r="N26" s="83"/>
    </row>
    <row r="27" spans="1:14" x14ac:dyDescent="0.2">
      <c r="A27" s="158">
        <v>3.4</v>
      </c>
      <c r="B27" s="160" t="s">
        <v>153</v>
      </c>
      <c r="C27" s="154"/>
      <c r="D27" s="160"/>
      <c r="E27" s="83"/>
      <c r="F27" s="83"/>
      <c r="G27" s="83"/>
      <c r="H27" s="83"/>
      <c r="I27" s="83"/>
      <c r="J27" s="83"/>
      <c r="K27" s="83"/>
      <c r="L27" s="83"/>
      <c r="M27" s="83"/>
      <c r="N27" s="83"/>
    </row>
    <row r="28" spans="1:14" ht="15.75" customHeight="1" x14ac:dyDescent="0.2">
      <c r="A28" s="158">
        <v>3.5</v>
      </c>
      <c r="B28" s="160" t="s">
        <v>154</v>
      </c>
      <c r="C28" s="154"/>
      <c r="D28" s="160"/>
      <c r="E28" s="83"/>
      <c r="F28" s="83"/>
      <c r="G28" s="83"/>
      <c r="H28" s="83"/>
      <c r="I28" s="83"/>
      <c r="J28" s="83"/>
      <c r="K28" s="83"/>
      <c r="L28" s="83"/>
      <c r="M28" s="83"/>
      <c r="N28" s="83"/>
    </row>
    <row r="29" spans="1:14" x14ac:dyDescent="0.2">
      <c r="D29" s="83"/>
      <c r="E29" s="83"/>
      <c r="F29" s="83"/>
      <c r="G29" s="83"/>
      <c r="H29" s="83"/>
      <c r="I29" s="83"/>
      <c r="J29" s="83"/>
      <c r="K29" s="83"/>
      <c r="L29" s="83"/>
      <c r="M29" s="83"/>
      <c r="N29" s="83"/>
    </row>
    <row r="30" spans="1:14" x14ac:dyDescent="0.2">
      <c r="D30" s="83"/>
      <c r="E30" s="83"/>
      <c r="F30" s="83"/>
      <c r="G30" s="83"/>
      <c r="H30" s="83"/>
      <c r="I30" s="83"/>
      <c r="J30" s="83"/>
      <c r="K30" s="83"/>
      <c r="L30" s="83"/>
      <c r="M30" s="83"/>
      <c r="N30" s="8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7"/>
  <sheetViews>
    <sheetView workbookViewId="0">
      <selection activeCell="M10" sqref="M10"/>
    </sheetView>
  </sheetViews>
  <sheetFormatPr defaultRowHeight="15" x14ac:dyDescent="0.2"/>
  <cols>
    <col min="2" max="2" width="9.109375" bestFit="1" customWidth="1"/>
    <col min="4" max="4" width="33.109375" customWidth="1"/>
    <col min="6" max="6" width="11.44140625" bestFit="1" customWidth="1"/>
    <col min="8" max="8" width="14.6640625" customWidth="1"/>
  </cols>
  <sheetData>
    <row r="2" spans="1:9" ht="15.75" x14ac:dyDescent="0.25">
      <c r="A2" s="1" t="s">
        <v>283</v>
      </c>
    </row>
    <row r="3" spans="1:9" ht="16.5" customHeight="1" x14ac:dyDescent="0.2"/>
    <row r="4" spans="1:9" ht="36.75" thickBot="1" x14ac:dyDescent="0.25">
      <c r="A4" s="144" t="s">
        <v>100</v>
      </c>
      <c r="B4" s="144" t="s">
        <v>196</v>
      </c>
      <c r="C4" s="144" t="s">
        <v>249</v>
      </c>
      <c r="D4" s="144" t="s">
        <v>256</v>
      </c>
      <c r="E4" s="144" t="s">
        <v>257</v>
      </c>
      <c r="F4" s="144" t="s">
        <v>198</v>
      </c>
      <c r="G4" s="145" t="s">
        <v>199</v>
      </c>
      <c r="H4" s="146" t="s">
        <v>200</v>
      </c>
      <c r="I4" s="146" t="s">
        <v>275</v>
      </c>
    </row>
    <row r="5" spans="1:9" ht="15.75" thickTop="1" x14ac:dyDescent="0.2">
      <c r="A5" s="42">
        <v>1</v>
      </c>
      <c r="B5" s="42" t="s">
        <v>190</v>
      </c>
      <c r="C5" s="42" t="s">
        <v>258</v>
      </c>
      <c r="D5" s="163" t="s">
        <v>221</v>
      </c>
      <c r="E5" s="42">
        <v>1</v>
      </c>
      <c r="F5" s="42">
        <v>2</v>
      </c>
      <c r="G5" s="178">
        <v>8.1296120305254964E-5</v>
      </c>
      <c r="H5" s="147">
        <v>5843.1586469402009</v>
      </c>
      <c r="I5" s="147">
        <v>2921.5793234701005</v>
      </c>
    </row>
    <row r="6" spans="1:9" ht="25.5" x14ac:dyDescent="0.2">
      <c r="A6" s="44"/>
      <c r="B6" s="44"/>
      <c r="C6" s="44" t="s">
        <v>250</v>
      </c>
      <c r="D6" s="164" t="s">
        <v>212</v>
      </c>
      <c r="E6" s="44">
        <v>629.12000000000023</v>
      </c>
      <c r="F6" s="44">
        <v>1612</v>
      </c>
      <c r="G6" s="179">
        <v>5.1145015206442025E-2</v>
      </c>
      <c r="H6" s="148">
        <v>3676047.9679630208</v>
      </c>
      <c r="I6" s="148">
        <v>2280.4267791333878</v>
      </c>
    </row>
    <row r="7" spans="1:9" ht="25.5" x14ac:dyDescent="0.2">
      <c r="A7" s="42"/>
      <c r="B7" s="42" t="s">
        <v>201</v>
      </c>
      <c r="C7" s="42" t="s">
        <v>259</v>
      </c>
      <c r="D7" s="163" t="s">
        <v>222</v>
      </c>
      <c r="E7" s="42">
        <v>38.21</v>
      </c>
      <c r="F7" s="42">
        <v>91</v>
      </c>
      <c r="G7" s="178">
        <v>3.1063247568637923E-3</v>
      </c>
      <c r="H7" s="147">
        <v>223267.09189958507</v>
      </c>
      <c r="I7" s="147">
        <v>2453.4845263690668</v>
      </c>
    </row>
    <row r="8" spans="1:9" x14ac:dyDescent="0.2">
      <c r="A8" s="44"/>
      <c r="B8" s="44" t="s">
        <v>202</v>
      </c>
      <c r="C8" s="44" t="s">
        <v>260</v>
      </c>
      <c r="D8" s="164" t="s">
        <v>66</v>
      </c>
      <c r="E8" s="44">
        <v>25.04000000000001</v>
      </c>
      <c r="F8" s="44">
        <v>72</v>
      </c>
      <c r="G8" s="179">
        <v>2.0356548524435854E-3</v>
      </c>
      <c r="H8" s="148">
        <v>146312.69251938269</v>
      </c>
      <c r="I8" s="148">
        <v>2032.1207294358708</v>
      </c>
    </row>
    <row r="9" spans="1:9" ht="25.5" x14ac:dyDescent="0.2">
      <c r="A9" s="42"/>
      <c r="B9" s="42"/>
      <c r="C9" s="42" t="s">
        <v>261</v>
      </c>
      <c r="D9" s="163" t="s">
        <v>220</v>
      </c>
      <c r="E9" s="42">
        <v>124.72000000000004</v>
      </c>
      <c r="F9" s="42">
        <v>395</v>
      </c>
      <c r="G9" s="178">
        <v>1.0139252124471403E-2</v>
      </c>
      <c r="H9" s="147">
        <v>728758.74644638214</v>
      </c>
      <c r="I9" s="147">
        <v>1844.9588517629927</v>
      </c>
    </row>
    <row r="10" spans="1:9" x14ac:dyDescent="0.2">
      <c r="A10" s="151" t="s">
        <v>213</v>
      </c>
      <c r="B10" s="151"/>
      <c r="C10" s="151"/>
      <c r="D10" s="165"/>
      <c r="E10" s="151">
        <v>818.09000000000083</v>
      </c>
      <c r="F10" s="151">
        <v>2172</v>
      </c>
      <c r="G10" s="181">
        <v>6.65075430605261E-2</v>
      </c>
      <c r="H10" s="150">
        <v>4780229.6574753132</v>
      </c>
      <c r="I10" s="150">
        <v>2200.8423837363321</v>
      </c>
    </row>
    <row r="11" spans="1:9" x14ac:dyDescent="0.2">
      <c r="A11" s="42">
        <v>2</v>
      </c>
      <c r="B11" s="42" t="s">
        <v>189</v>
      </c>
      <c r="C11" s="42" t="s">
        <v>262</v>
      </c>
      <c r="D11" s="163" t="s">
        <v>224</v>
      </c>
      <c r="E11" s="42">
        <v>0.75</v>
      </c>
      <c r="F11" s="42">
        <v>1</v>
      </c>
      <c r="G11" s="178">
        <v>6.0972090228941226E-5</v>
      </c>
      <c r="H11" s="147">
        <v>4382.3689852051502</v>
      </c>
      <c r="I11" s="147">
        <v>4382.3689852051502</v>
      </c>
    </row>
    <row r="12" spans="1:9" x14ac:dyDescent="0.2">
      <c r="A12" s="44"/>
      <c r="B12" s="44"/>
      <c r="C12" s="44" t="s">
        <v>263</v>
      </c>
      <c r="D12" s="164" t="s">
        <v>225</v>
      </c>
      <c r="E12" s="44">
        <v>7.6999999999999993</v>
      </c>
      <c r="F12" s="44">
        <v>10</v>
      </c>
      <c r="G12" s="179">
        <v>6.2598012635046323E-4</v>
      </c>
      <c r="H12" s="148">
        <v>44992.321581439544</v>
      </c>
      <c r="I12" s="148">
        <v>4499.2321581439546</v>
      </c>
    </row>
    <row r="13" spans="1:9" x14ac:dyDescent="0.2">
      <c r="A13" s="42"/>
      <c r="B13" s="42"/>
      <c r="C13" s="42" t="s">
        <v>251</v>
      </c>
      <c r="D13" s="163" t="s">
        <v>214</v>
      </c>
      <c r="E13" s="42">
        <v>528.54999999999927</v>
      </c>
      <c r="F13" s="42">
        <v>679</v>
      </c>
      <c r="G13" s="178">
        <v>4.2969064387342458E-2</v>
      </c>
      <c r="H13" s="147">
        <v>3088401.5028402391</v>
      </c>
      <c r="I13" s="147">
        <v>4548.4558215614716</v>
      </c>
    </row>
    <row r="14" spans="1:9" ht="25.5" x14ac:dyDescent="0.2">
      <c r="A14" s="44"/>
      <c r="B14" s="44"/>
      <c r="C14" s="44" t="s">
        <v>254</v>
      </c>
      <c r="D14" s="164" t="s">
        <v>217</v>
      </c>
      <c r="E14" s="44">
        <v>0.7</v>
      </c>
      <c r="F14" s="44">
        <v>1</v>
      </c>
      <c r="G14" s="179">
        <v>5.6907284213678473E-5</v>
      </c>
      <c r="H14" s="148">
        <v>4090.2110528581402</v>
      </c>
      <c r="I14" s="148">
        <v>4090.2110528581402</v>
      </c>
    </row>
    <row r="15" spans="1:9" x14ac:dyDescent="0.2">
      <c r="A15" s="80"/>
      <c r="B15" s="80"/>
      <c r="C15" s="42" t="s">
        <v>258</v>
      </c>
      <c r="D15" s="42" t="s">
        <v>221</v>
      </c>
      <c r="E15" s="42">
        <v>180.11999999999983</v>
      </c>
      <c r="F15" s="42">
        <v>256</v>
      </c>
      <c r="G15" s="178">
        <v>1.4643057189382512E-2</v>
      </c>
      <c r="H15" s="147">
        <v>1052469.7354868681</v>
      </c>
      <c r="I15" s="147">
        <v>4111.2099042455784</v>
      </c>
    </row>
    <row r="16" spans="1:9" x14ac:dyDescent="0.2">
      <c r="A16" s="44"/>
      <c r="B16" s="44"/>
      <c r="C16" s="44" t="s">
        <v>262</v>
      </c>
      <c r="D16" s="164" t="s">
        <v>224</v>
      </c>
      <c r="E16" s="44">
        <v>99.180000000000092</v>
      </c>
      <c r="F16" s="44">
        <v>137</v>
      </c>
      <c r="G16" s="179">
        <v>8.062949211875196E-3</v>
      </c>
      <c r="H16" s="148">
        <v>579524.47460352967</v>
      </c>
      <c r="I16" s="148">
        <v>4230.1056540403624</v>
      </c>
    </row>
    <row r="17" spans="1:9" x14ac:dyDescent="0.2">
      <c r="A17" s="42"/>
      <c r="B17" s="42"/>
      <c r="C17" s="42" t="s">
        <v>252</v>
      </c>
      <c r="D17" s="163" t="s">
        <v>191</v>
      </c>
      <c r="E17" s="42">
        <v>5</v>
      </c>
      <c r="F17" s="42">
        <v>9</v>
      </c>
      <c r="G17" s="178">
        <v>4.0648060152627483E-4</v>
      </c>
      <c r="H17" s="147">
        <v>29215.793234701003</v>
      </c>
      <c r="I17" s="147">
        <v>3246.1992483001113</v>
      </c>
    </row>
    <row r="18" spans="1:9" x14ac:dyDescent="0.2">
      <c r="A18" s="44"/>
      <c r="B18" s="44"/>
      <c r="C18" s="44" t="s">
        <v>264</v>
      </c>
      <c r="D18" s="164" t="s">
        <v>192</v>
      </c>
      <c r="E18" s="44">
        <v>172.85000000000005</v>
      </c>
      <c r="F18" s="44">
        <v>262</v>
      </c>
      <c r="G18" s="179">
        <v>1.4052034394763326E-2</v>
      </c>
      <c r="H18" s="148">
        <v>1009989.972123614</v>
      </c>
      <c r="I18" s="148">
        <v>3854.9235577237177</v>
      </c>
    </row>
    <row r="19" spans="1:9" x14ac:dyDescent="0.2">
      <c r="A19" s="42"/>
      <c r="B19" s="42" t="s">
        <v>203</v>
      </c>
      <c r="C19" s="42" t="s">
        <v>265</v>
      </c>
      <c r="D19" s="163" t="s">
        <v>223</v>
      </c>
      <c r="E19" s="42">
        <v>4.0999999999999996</v>
      </c>
      <c r="F19" s="42">
        <v>7</v>
      </c>
      <c r="G19" s="178">
        <v>3.3331409325154535E-4</v>
      </c>
      <c r="H19" s="147">
        <v>23956.950452454821</v>
      </c>
      <c r="I19" s="147">
        <v>3422.4214932078316</v>
      </c>
    </row>
    <row r="20" spans="1:9" x14ac:dyDescent="0.2">
      <c r="A20" s="44"/>
      <c r="B20" s="44"/>
      <c r="C20" s="44" t="s">
        <v>253</v>
      </c>
      <c r="D20" s="164" t="s">
        <v>216</v>
      </c>
      <c r="E20" s="44">
        <v>3.2999999999999994</v>
      </c>
      <c r="F20" s="44">
        <v>6</v>
      </c>
      <c r="G20" s="179">
        <v>2.6827719700734136E-4</v>
      </c>
      <c r="H20" s="148">
        <v>19282.42353490266</v>
      </c>
      <c r="I20" s="148">
        <v>3213.7372558171101</v>
      </c>
    </row>
    <row r="21" spans="1:9" ht="25.5" x14ac:dyDescent="0.2">
      <c r="A21" s="42"/>
      <c r="B21" s="42"/>
      <c r="C21" s="42" t="s">
        <v>254</v>
      </c>
      <c r="D21" s="163" t="s">
        <v>217</v>
      </c>
      <c r="E21" s="42">
        <v>52.29999999999999</v>
      </c>
      <c r="F21" s="42">
        <v>81</v>
      </c>
      <c r="G21" s="178">
        <v>4.2517870919648341E-3</v>
      </c>
      <c r="H21" s="147">
        <v>305597.19723497244</v>
      </c>
      <c r="I21" s="147">
        <v>3772.804904135462</v>
      </c>
    </row>
    <row r="22" spans="1:9" x14ac:dyDescent="0.2">
      <c r="A22" s="44"/>
      <c r="B22" s="44"/>
      <c r="C22" s="44" t="s">
        <v>252</v>
      </c>
      <c r="D22" s="164" t="s">
        <v>191</v>
      </c>
      <c r="E22" s="44">
        <v>941.71999999999912</v>
      </c>
      <c r="F22" s="44">
        <v>1484</v>
      </c>
      <c r="G22" s="179">
        <v>7.6558182413864639E-2</v>
      </c>
      <c r="H22" s="148">
        <v>5502619.3609965211</v>
      </c>
      <c r="I22" s="148">
        <v>3707.9645289733971</v>
      </c>
    </row>
    <row r="23" spans="1:9" x14ac:dyDescent="0.2">
      <c r="A23" s="42"/>
      <c r="B23" s="42"/>
      <c r="C23" s="42" t="s">
        <v>266</v>
      </c>
      <c r="D23" s="163" t="s">
        <v>72</v>
      </c>
      <c r="E23" s="42">
        <v>9.75</v>
      </c>
      <c r="F23" s="42">
        <v>13</v>
      </c>
      <c r="G23" s="178">
        <v>7.9263717297623599E-4</v>
      </c>
      <c r="H23" s="147">
        <v>56970.796807666964</v>
      </c>
      <c r="I23" s="147">
        <v>4382.3689852051511</v>
      </c>
    </row>
    <row r="24" spans="1:9" x14ac:dyDescent="0.2">
      <c r="A24" s="44"/>
      <c r="B24" s="44"/>
      <c r="C24" s="44" t="s">
        <v>267</v>
      </c>
      <c r="D24" s="164" t="s">
        <v>193</v>
      </c>
      <c r="E24" s="44">
        <v>26.47</v>
      </c>
      <c r="F24" s="44">
        <v>50</v>
      </c>
      <c r="G24" s="179">
        <v>2.1519083044800988E-3</v>
      </c>
      <c r="H24" s="148">
        <v>154668.4093845071</v>
      </c>
      <c r="I24" s="148">
        <v>3093.3681876901419</v>
      </c>
    </row>
    <row r="25" spans="1:9" x14ac:dyDescent="0.2">
      <c r="A25" s="42"/>
      <c r="B25" s="42" t="s">
        <v>204</v>
      </c>
      <c r="C25" s="42" t="s">
        <v>265</v>
      </c>
      <c r="D25" s="163" t="s">
        <v>223</v>
      </c>
      <c r="E25" s="42">
        <v>4.4000000000000004</v>
      </c>
      <c r="F25" s="42">
        <v>5</v>
      </c>
      <c r="G25" s="178">
        <v>3.5770292934312188E-4</v>
      </c>
      <c r="H25" s="147">
        <v>25709.898046536884</v>
      </c>
      <c r="I25" s="147">
        <v>5141.9796093073764</v>
      </c>
    </row>
    <row r="26" spans="1:9" x14ac:dyDescent="0.2">
      <c r="A26" s="44"/>
      <c r="B26" s="44"/>
      <c r="C26" s="44" t="s">
        <v>253</v>
      </c>
      <c r="D26" s="164" t="s">
        <v>216</v>
      </c>
      <c r="E26" s="44">
        <v>5</v>
      </c>
      <c r="F26" s="44">
        <v>5</v>
      </c>
      <c r="G26" s="179">
        <v>4.0648060152627483E-4</v>
      </c>
      <c r="H26" s="148">
        <v>29215.793234701003</v>
      </c>
      <c r="I26" s="148">
        <v>5843.1586469402009</v>
      </c>
    </row>
    <row r="27" spans="1:9" ht="25.5" x14ac:dyDescent="0.2">
      <c r="A27" s="42"/>
      <c r="B27" s="42"/>
      <c r="C27" s="42" t="s">
        <v>254</v>
      </c>
      <c r="D27" s="163" t="s">
        <v>217</v>
      </c>
      <c r="E27" s="42">
        <v>14</v>
      </c>
      <c r="F27" s="42">
        <v>14</v>
      </c>
      <c r="G27" s="178">
        <v>1.1381456842735696E-3</v>
      </c>
      <c r="H27" s="147">
        <v>81804.221057162809</v>
      </c>
      <c r="I27" s="147">
        <v>5843.1586469402009</v>
      </c>
    </row>
    <row r="28" spans="1:9" x14ac:dyDescent="0.2">
      <c r="A28" s="44"/>
      <c r="B28" s="44"/>
      <c r="C28" s="44" t="s">
        <v>252</v>
      </c>
      <c r="D28" s="164" t="s">
        <v>191</v>
      </c>
      <c r="E28" s="44">
        <v>390.77999999999992</v>
      </c>
      <c r="F28" s="44">
        <v>383</v>
      </c>
      <c r="G28" s="179">
        <v>3.1768897892887532E-2</v>
      </c>
      <c r="H28" s="148">
        <v>2283389.5360512915</v>
      </c>
      <c r="I28" s="148">
        <v>5961.8525745464531</v>
      </c>
    </row>
    <row r="29" spans="1:9" x14ac:dyDescent="0.2">
      <c r="A29" s="80" t="s">
        <v>215</v>
      </c>
      <c r="B29" s="80"/>
      <c r="C29" s="80"/>
      <c r="D29" s="166"/>
      <c r="E29" s="80">
        <v>2446.6699999999987</v>
      </c>
      <c r="F29" s="80">
        <v>3403</v>
      </c>
      <c r="G29" s="180">
        <v>0.19890477866725809</v>
      </c>
      <c r="H29" s="149">
        <v>14296280.966709174</v>
      </c>
      <c r="I29" s="149">
        <v>4201.0816828413681</v>
      </c>
    </row>
    <row r="30" spans="1:9" x14ac:dyDescent="0.2">
      <c r="A30" s="44">
        <v>2.5</v>
      </c>
      <c r="B30" s="44" t="s">
        <v>205</v>
      </c>
      <c r="C30" s="44" t="s">
        <v>253</v>
      </c>
      <c r="D30" s="164" t="s">
        <v>216</v>
      </c>
      <c r="E30" s="44">
        <v>472.53999999999888</v>
      </c>
      <c r="F30" s="44">
        <v>598</v>
      </c>
      <c r="G30" s="179">
        <v>3.8415668689045092E-2</v>
      </c>
      <c r="H30" s="148">
        <v>2761126.1870251158</v>
      </c>
      <c r="I30" s="148">
        <v>4617.2678712794577</v>
      </c>
    </row>
    <row r="31" spans="1:9" ht="25.5" x14ac:dyDescent="0.2">
      <c r="A31" s="42"/>
      <c r="B31" s="42"/>
      <c r="C31" s="42" t="s">
        <v>254</v>
      </c>
      <c r="D31" s="163" t="s">
        <v>217</v>
      </c>
      <c r="E31" s="42">
        <v>347.70999999999907</v>
      </c>
      <c r="F31" s="42">
        <v>373</v>
      </c>
      <c r="G31" s="178">
        <v>2.8267473991340129E-2</v>
      </c>
      <c r="H31" s="147">
        <v>2031724.6931275718</v>
      </c>
      <c r="I31" s="147">
        <v>5446.9830914948307</v>
      </c>
    </row>
    <row r="32" spans="1:9" x14ac:dyDescent="0.2">
      <c r="A32" s="44"/>
      <c r="B32" s="44"/>
      <c r="C32" s="44" t="s">
        <v>252</v>
      </c>
      <c r="D32" s="164" t="s">
        <v>191</v>
      </c>
      <c r="E32" s="44">
        <v>28.499999999999996</v>
      </c>
      <c r="F32" s="44">
        <v>36</v>
      </c>
      <c r="G32" s="179">
        <v>2.3169394286997663E-3</v>
      </c>
      <c r="H32" s="148">
        <v>166530.02143779572</v>
      </c>
      <c r="I32" s="148">
        <v>4625.8339288276584</v>
      </c>
    </row>
    <row r="33" spans="1:9" x14ac:dyDescent="0.2">
      <c r="A33" s="42"/>
      <c r="B33" s="42"/>
      <c r="C33" s="42" t="s">
        <v>268</v>
      </c>
      <c r="D33" s="163" t="s">
        <v>226</v>
      </c>
      <c r="E33" s="42">
        <v>640.1499999999985</v>
      </c>
      <c r="F33" s="42">
        <v>710</v>
      </c>
      <c r="G33" s="178">
        <v>5.2041711413408846E-2</v>
      </c>
      <c r="H33" s="147">
        <v>3740498.007838761</v>
      </c>
      <c r="I33" s="147">
        <v>5268.3070532940292</v>
      </c>
    </row>
    <row r="34" spans="1:9" x14ac:dyDescent="0.2">
      <c r="A34" s="44"/>
      <c r="B34" s="44"/>
      <c r="C34" s="44" t="s">
        <v>269</v>
      </c>
      <c r="D34" s="164" t="s">
        <v>227</v>
      </c>
      <c r="E34" s="44">
        <v>23.870000000000008</v>
      </c>
      <c r="F34" s="44">
        <v>34</v>
      </c>
      <c r="G34" s="179">
        <v>1.9405383916864369E-3</v>
      </c>
      <c r="H34" s="148">
        <v>139476.19690246266</v>
      </c>
      <c r="I34" s="148">
        <v>4102.2410853665488</v>
      </c>
    </row>
    <row r="35" spans="1:9" ht="25.5" x14ac:dyDescent="0.2">
      <c r="A35" s="42"/>
      <c r="B35" s="42" t="s">
        <v>206</v>
      </c>
      <c r="C35" s="42" t="s">
        <v>254</v>
      </c>
      <c r="D35" s="163" t="s">
        <v>217</v>
      </c>
      <c r="E35" s="42">
        <v>11.160000000000002</v>
      </c>
      <c r="F35" s="42">
        <v>11</v>
      </c>
      <c r="G35" s="178">
        <v>9.0726470260664557E-4</v>
      </c>
      <c r="H35" s="147">
        <v>65209.650499852651</v>
      </c>
      <c r="I35" s="147">
        <v>5928.1500454411498</v>
      </c>
    </row>
    <row r="36" spans="1:9" x14ac:dyDescent="0.2">
      <c r="A36" s="44"/>
      <c r="B36" s="44"/>
      <c r="C36" s="44" t="s">
        <v>255</v>
      </c>
      <c r="D36" s="164" t="s">
        <v>218</v>
      </c>
      <c r="E36" s="44">
        <v>4.6999999999999993</v>
      </c>
      <c r="F36" s="44">
        <v>5</v>
      </c>
      <c r="G36" s="179">
        <v>3.820917654346983E-4</v>
      </c>
      <c r="H36" s="148">
        <v>27462.84564061894</v>
      </c>
      <c r="I36" s="148">
        <v>5492.5691281237878</v>
      </c>
    </row>
    <row r="37" spans="1:9" x14ac:dyDescent="0.2">
      <c r="A37" s="42"/>
      <c r="B37" s="42"/>
      <c r="C37" s="42" t="s">
        <v>270</v>
      </c>
      <c r="D37" s="163" t="s">
        <v>231</v>
      </c>
      <c r="E37" s="42">
        <v>13.78</v>
      </c>
      <c r="F37" s="42">
        <v>13</v>
      </c>
      <c r="G37" s="178">
        <v>1.1202605378064134E-3</v>
      </c>
      <c r="H37" s="147">
        <v>80518.726154835967</v>
      </c>
      <c r="I37" s="147">
        <v>6193.7481657566132</v>
      </c>
    </row>
    <row r="38" spans="1:9" x14ac:dyDescent="0.2">
      <c r="A38" s="44"/>
      <c r="B38" s="44"/>
      <c r="C38" s="44" t="s">
        <v>271</v>
      </c>
      <c r="D38" s="164" t="s">
        <v>55</v>
      </c>
      <c r="E38" s="44">
        <v>5.0199999999999996</v>
      </c>
      <c r="F38" s="44">
        <v>6</v>
      </c>
      <c r="G38" s="179">
        <v>4.0810652393237989E-4</v>
      </c>
      <c r="H38" s="148">
        <v>29332.656407639806</v>
      </c>
      <c r="I38" s="148">
        <v>4888.776067939968</v>
      </c>
    </row>
    <row r="39" spans="1:9" x14ac:dyDescent="0.2">
      <c r="A39" s="42"/>
      <c r="B39" s="42" t="s">
        <v>207</v>
      </c>
      <c r="C39" s="42" t="s">
        <v>272</v>
      </c>
      <c r="D39" s="163" t="s">
        <v>230</v>
      </c>
      <c r="E39" s="42">
        <v>5.01</v>
      </c>
      <c r="F39" s="42">
        <v>5</v>
      </c>
      <c r="G39" s="178">
        <v>4.0729356272932736E-4</v>
      </c>
      <c r="H39" s="147">
        <v>29274.224821170403</v>
      </c>
      <c r="I39" s="147">
        <v>5854.8449642340802</v>
      </c>
    </row>
    <row r="40" spans="1:9" x14ac:dyDescent="0.2">
      <c r="A40" s="44"/>
      <c r="B40" s="44" t="s">
        <v>208</v>
      </c>
      <c r="C40" s="44" t="s">
        <v>265</v>
      </c>
      <c r="D40" s="164" t="s">
        <v>223</v>
      </c>
      <c r="E40" s="44">
        <v>123.63999999999986</v>
      </c>
      <c r="F40" s="44">
        <v>133</v>
      </c>
      <c r="G40" s="179">
        <v>1.0051452314541713E-2</v>
      </c>
      <c r="H40" s="148">
        <v>722448.13510768558</v>
      </c>
      <c r="I40" s="148">
        <v>5431.9408654713197</v>
      </c>
    </row>
    <row r="41" spans="1:9" ht="25.5" x14ac:dyDescent="0.2">
      <c r="A41" s="42"/>
      <c r="B41" s="42"/>
      <c r="C41" s="42" t="s">
        <v>254</v>
      </c>
      <c r="D41" s="163" t="s">
        <v>217</v>
      </c>
      <c r="E41" s="42">
        <v>2.5</v>
      </c>
      <c r="F41" s="42">
        <v>2</v>
      </c>
      <c r="G41" s="178">
        <v>2.0324030076313742E-4</v>
      </c>
      <c r="H41" s="147">
        <v>14607.896617350501</v>
      </c>
      <c r="I41" s="147">
        <v>7303.9483086752507</v>
      </c>
    </row>
    <row r="42" spans="1:9" x14ac:dyDescent="0.2">
      <c r="A42" s="44"/>
      <c r="B42" s="44"/>
      <c r="C42" s="44" t="s">
        <v>273</v>
      </c>
      <c r="D42" s="164" t="s">
        <v>229</v>
      </c>
      <c r="E42" s="44">
        <v>0.88</v>
      </c>
      <c r="F42" s="44">
        <v>1</v>
      </c>
      <c r="G42" s="179">
        <v>7.1540585868624376E-5</v>
      </c>
      <c r="H42" s="148">
        <v>5141.9796093073774</v>
      </c>
      <c r="I42" s="148">
        <v>5141.9796093073774</v>
      </c>
    </row>
    <row r="43" spans="1:9" x14ac:dyDescent="0.2">
      <c r="A43" s="42"/>
      <c r="B43" s="42" t="s">
        <v>209</v>
      </c>
      <c r="C43" s="42" t="s">
        <v>253</v>
      </c>
      <c r="D43" s="163" t="s">
        <v>216</v>
      </c>
      <c r="E43" s="42">
        <v>85.57</v>
      </c>
      <c r="F43" s="42">
        <v>66</v>
      </c>
      <c r="G43" s="178">
        <v>6.9565090145206673E-3</v>
      </c>
      <c r="H43" s="147">
        <v>499999.08541867294</v>
      </c>
      <c r="I43" s="147">
        <v>7575.7437184647415</v>
      </c>
    </row>
    <row r="44" spans="1:9" x14ac:dyDescent="0.2">
      <c r="A44" s="44"/>
      <c r="B44" s="44"/>
      <c r="C44" s="44" t="s">
        <v>263</v>
      </c>
      <c r="D44" s="164" t="s">
        <v>225</v>
      </c>
      <c r="E44" s="44">
        <v>0.94</v>
      </c>
      <c r="F44" s="44">
        <v>1</v>
      </c>
      <c r="G44" s="179">
        <v>7.6418353086939663E-5</v>
      </c>
      <c r="H44" s="148">
        <v>5492.5691281237887</v>
      </c>
      <c r="I44" s="148">
        <v>5492.5691281237887</v>
      </c>
    </row>
    <row r="45" spans="1:9" x14ac:dyDescent="0.2">
      <c r="A45" s="42"/>
      <c r="B45" s="42"/>
      <c r="C45" s="42" t="s">
        <v>274</v>
      </c>
      <c r="D45" s="163" t="s">
        <v>228</v>
      </c>
      <c r="E45" s="42">
        <v>5</v>
      </c>
      <c r="F45" s="42">
        <v>3</v>
      </c>
      <c r="G45" s="178">
        <v>4.0648060152627483E-4</v>
      </c>
      <c r="H45" s="147">
        <v>29215.793234701003</v>
      </c>
      <c r="I45" s="147">
        <v>9738.5977449003349</v>
      </c>
    </row>
    <row r="46" spans="1:9" x14ac:dyDescent="0.2">
      <c r="A46" s="151" t="s">
        <v>219</v>
      </c>
      <c r="B46" s="151"/>
      <c r="C46" s="151"/>
      <c r="D46" s="165"/>
      <c r="E46" s="151">
        <v>1770.9700000000366</v>
      </c>
      <c r="F46" s="151">
        <v>1997</v>
      </c>
      <c r="G46" s="181">
        <v>0.14397299017700038</v>
      </c>
      <c r="H46" s="150">
        <v>10348058.668971902</v>
      </c>
      <c r="I46" s="150">
        <v>5181.8020375422639</v>
      </c>
    </row>
    <row r="47" spans="1:9" x14ac:dyDescent="0.2">
      <c r="A47" s="80" t="s">
        <v>39</v>
      </c>
      <c r="B47" s="80"/>
      <c r="C47" s="80"/>
      <c r="D47" s="166"/>
      <c r="E47" s="80">
        <v>5035.7300000000951</v>
      </c>
      <c r="F47" s="80">
        <v>7577</v>
      </c>
      <c r="G47" s="180">
        <v>0.40938531190478933</v>
      </c>
      <c r="H47" s="149">
        <v>29424569.293156732</v>
      </c>
      <c r="I47" s="149">
        <v>3883.4062680687252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
  <sheetViews>
    <sheetView workbookViewId="0">
      <selection activeCell="E22" sqref="E22"/>
    </sheetView>
  </sheetViews>
  <sheetFormatPr defaultRowHeight="15" x14ac:dyDescent="0.2"/>
  <cols>
    <col min="1" max="1" width="12" customWidth="1"/>
    <col min="2" max="2" width="9.109375" bestFit="1" customWidth="1"/>
    <col min="3" max="3" width="11.44140625" bestFit="1" customWidth="1"/>
    <col min="4" max="4" width="33.21875" customWidth="1"/>
    <col min="5" max="5" width="9.21875" bestFit="1" customWidth="1"/>
    <col min="6" max="6" width="12.88671875" bestFit="1" customWidth="1"/>
    <col min="7" max="7" width="9.44140625" bestFit="1" customWidth="1"/>
    <col min="8" max="8" width="11.77734375" customWidth="1"/>
  </cols>
  <sheetData>
    <row r="2" spans="1:9" ht="15.75" x14ac:dyDescent="0.25">
      <c r="A2" s="1" t="s">
        <v>284</v>
      </c>
    </row>
    <row r="4" spans="1:9" ht="27.75" customHeight="1" thickBot="1" x14ac:dyDescent="0.25">
      <c r="A4" s="144" t="s">
        <v>210</v>
      </c>
      <c r="B4" s="144" t="s">
        <v>196</v>
      </c>
      <c r="C4" s="144" t="s">
        <v>249</v>
      </c>
      <c r="D4" s="144" t="s">
        <v>211</v>
      </c>
      <c r="E4" s="144" t="s">
        <v>197</v>
      </c>
      <c r="F4" s="144" t="s">
        <v>198</v>
      </c>
      <c r="G4" s="145" t="s">
        <v>199</v>
      </c>
      <c r="H4" s="146" t="s">
        <v>200</v>
      </c>
      <c r="I4" s="146" t="s">
        <v>275</v>
      </c>
    </row>
    <row r="5" spans="1:9" ht="26.25" thickTop="1" x14ac:dyDescent="0.2">
      <c r="A5" s="42">
        <v>1</v>
      </c>
      <c r="B5" s="42" t="s">
        <v>190</v>
      </c>
      <c r="C5" s="42" t="s">
        <v>250</v>
      </c>
      <c r="D5" s="163" t="s">
        <v>212</v>
      </c>
      <c r="E5" s="42">
        <v>3.4099999999999988</v>
      </c>
      <c r="F5" s="42">
        <v>21</v>
      </c>
      <c r="G5" s="178">
        <v>2.7721977024091938E-4</v>
      </c>
      <c r="H5" s="147">
        <v>19925.170986066081</v>
      </c>
      <c r="I5" s="147">
        <v>948.81766600314677</v>
      </c>
    </row>
    <row r="6" spans="1:9" x14ac:dyDescent="0.2">
      <c r="A6" s="151" t="s">
        <v>213</v>
      </c>
      <c r="B6" s="151"/>
      <c r="C6" s="151"/>
      <c r="D6" s="165"/>
      <c r="E6" s="151">
        <v>3.4099999999999988</v>
      </c>
      <c r="F6" s="151">
        <v>21</v>
      </c>
      <c r="G6" s="181">
        <v>2.7721977024091938E-4</v>
      </c>
      <c r="H6" s="150">
        <v>19925.170986066081</v>
      </c>
      <c r="I6" s="150">
        <v>948.81766600314677</v>
      </c>
    </row>
    <row r="7" spans="1:9" x14ac:dyDescent="0.2">
      <c r="A7" s="42">
        <v>2</v>
      </c>
      <c r="B7" s="42" t="s">
        <v>189</v>
      </c>
      <c r="C7" s="42" t="s">
        <v>251</v>
      </c>
      <c r="D7" s="163" t="s">
        <v>214</v>
      </c>
      <c r="E7" s="42">
        <v>82.930000000000106</v>
      </c>
      <c r="F7" s="42">
        <v>130</v>
      </c>
      <c r="G7" s="178">
        <v>6.741887256914803E-3</v>
      </c>
      <c r="H7" s="147">
        <v>484573.14659075148</v>
      </c>
      <c r="I7" s="147">
        <v>3727.4857430057805</v>
      </c>
    </row>
    <row r="8" spans="1:9" x14ac:dyDescent="0.2">
      <c r="A8" s="44"/>
      <c r="B8" s="44" t="s">
        <v>203</v>
      </c>
      <c r="C8" s="44" t="s">
        <v>252</v>
      </c>
      <c r="D8" s="164" t="s">
        <v>191</v>
      </c>
      <c r="E8" s="44">
        <v>14.200000000000012</v>
      </c>
      <c r="F8" s="44">
        <v>29</v>
      </c>
      <c r="G8" s="179">
        <v>1.1544049083346214E-3</v>
      </c>
      <c r="H8" s="148">
        <v>82972.85278655091</v>
      </c>
      <c r="I8" s="148">
        <v>2861.1328547086518</v>
      </c>
    </row>
    <row r="9" spans="1:9" x14ac:dyDescent="0.2">
      <c r="A9" s="80" t="s">
        <v>215</v>
      </c>
      <c r="B9" s="80"/>
      <c r="C9" s="80"/>
      <c r="D9" s="166"/>
      <c r="E9" s="80">
        <v>97.130000000000095</v>
      </c>
      <c r="F9" s="80">
        <v>159</v>
      </c>
      <c r="G9" s="180">
        <v>7.8962921652494227E-3</v>
      </c>
      <c r="H9" s="149">
        <v>567545.99937730224</v>
      </c>
      <c r="I9" s="149">
        <v>3569.4716941968695</v>
      </c>
    </row>
    <row r="10" spans="1:9" x14ac:dyDescent="0.2">
      <c r="A10" s="44">
        <v>2.5</v>
      </c>
      <c r="B10" s="44" t="s">
        <v>205</v>
      </c>
      <c r="C10" s="44" t="s">
        <v>253</v>
      </c>
      <c r="D10" s="164" t="s">
        <v>216</v>
      </c>
      <c r="E10" s="44">
        <v>6.8800000000000008</v>
      </c>
      <c r="F10" s="44">
        <v>10</v>
      </c>
      <c r="G10" s="179">
        <v>5.5931730770015424E-4</v>
      </c>
      <c r="H10" s="148">
        <v>40200.931490948584</v>
      </c>
      <c r="I10" s="148">
        <v>4020.0931490948583</v>
      </c>
    </row>
    <row r="11" spans="1:9" ht="25.5" x14ac:dyDescent="0.2">
      <c r="A11" s="42"/>
      <c r="B11" s="42"/>
      <c r="C11" s="42" t="s">
        <v>254</v>
      </c>
      <c r="D11" s="163" t="s">
        <v>217</v>
      </c>
      <c r="E11" s="42">
        <v>5.5400000000000009</v>
      </c>
      <c r="F11" s="42">
        <v>11</v>
      </c>
      <c r="G11" s="178">
        <v>4.5038050649111262E-4</v>
      </c>
      <c r="H11" s="147">
        <v>32371.098904048718</v>
      </c>
      <c r="I11" s="147">
        <v>2942.8271730953379</v>
      </c>
    </row>
    <row r="12" spans="1:9" ht="25.5" x14ac:dyDescent="0.2">
      <c r="A12" s="44"/>
      <c r="B12" s="44" t="s">
        <v>206</v>
      </c>
      <c r="C12" s="44" t="s">
        <v>254</v>
      </c>
      <c r="D12" s="164" t="s">
        <v>217</v>
      </c>
      <c r="E12" s="44">
        <v>20.819999999999993</v>
      </c>
      <c r="F12" s="44">
        <v>23</v>
      </c>
      <c r="G12" s="179">
        <v>1.692585224755408E-3</v>
      </c>
      <c r="H12" s="148">
        <v>121654.56302929495</v>
      </c>
      <c r="I12" s="148">
        <v>5289.3288273606504</v>
      </c>
    </row>
    <row r="13" spans="1:9" x14ac:dyDescent="0.2">
      <c r="A13" s="42"/>
      <c r="B13" s="42"/>
      <c r="C13" s="42" t="s">
        <v>255</v>
      </c>
      <c r="D13" s="163" t="s">
        <v>218</v>
      </c>
      <c r="E13" s="42">
        <v>11.840000000000005</v>
      </c>
      <c r="F13" s="42">
        <v>17</v>
      </c>
      <c r="G13" s="178">
        <v>9.6254606441421929E-4</v>
      </c>
      <c r="H13" s="147">
        <v>69182.998379772005</v>
      </c>
      <c r="I13" s="147">
        <v>4069.5881399865884</v>
      </c>
    </row>
    <row r="14" spans="1:9" x14ac:dyDescent="0.2">
      <c r="A14" s="151" t="s">
        <v>219</v>
      </c>
      <c r="B14" s="151"/>
      <c r="C14" s="151"/>
      <c r="D14" s="165"/>
      <c r="E14" s="151">
        <v>45.080000000000027</v>
      </c>
      <c r="F14" s="151">
        <v>61</v>
      </c>
      <c r="G14" s="181">
        <v>3.6648291033608963E-3</v>
      </c>
      <c r="H14" s="150">
        <v>263409.5918040644</v>
      </c>
      <c r="I14" s="150">
        <v>4318.1900295748264</v>
      </c>
    </row>
    <row r="15" spans="1:9" x14ac:dyDescent="0.2">
      <c r="A15" s="80" t="s">
        <v>39</v>
      </c>
      <c r="B15" s="80"/>
      <c r="C15" s="80"/>
      <c r="D15" s="80"/>
      <c r="E15" s="80">
        <v>145.61999999999992</v>
      </c>
      <c r="F15" s="80">
        <v>241</v>
      </c>
      <c r="G15" s="180">
        <v>1.1838341038851221E-2</v>
      </c>
      <c r="H15" s="149">
        <v>850880.76216743153</v>
      </c>
      <c r="I15" s="149">
        <v>3530.625569159467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A2" sqref="A2"/>
    </sheetView>
  </sheetViews>
  <sheetFormatPr defaultRowHeight="15" x14ac:dyDescent="0.2"/>
  <cols>
    <col min="1" max="1" width="29.33203125" customWidth="1"/>
    <col min="3" max="3" width="11.5546875" customWidth="1"/>
    <col min="4" max="4" width="11.6640625" customWidth="1"/>
  </cols>
  <sheetData>
    <row r="2" spans="1:9" ht="15.75" x14ac:dyDescent="0.25">
      <c r="A2" s="1" t="s">
        <v>285</v>
      </c>
    </row>
    <row r="4" spans="1:9" ht="15.75" thickBot="1" x14ac:dyDescent="0.25">
      <c r="A4" s="40" t="s">
        <v>96</v>
      </c>
      <c r="B4" s="41">
        <v>2010</v>
      </c>
      <c r="C4" s="46">
        <v>2011</v>
      </c>
      <c r="D4" s="46">
        <v>2012</v>
      </c>
      <c r="E4" s="47">
        <v>2013</v>
      </c>
      <c r="F4" s="46">
        <v>2014</v>
      </c>
      <c r="G4" s="46">
        <v>2015</v>
      </c>
    </row>
    <row r="5" spans="1:9" ht="15.75" thickTop="1" x14ac:dyDescent="0.2">
      <c r="A5" s="42" t="s">
        <v>128</v>
      </c>
      <c r="B5" s="43">
        <v>1951</v>
      </c>
      <c r="C5" s="43">
        <v>2217</v>
      </c>
      <c r="D5" s="43">
        <v>2409</v>
      </c>
      <c r="E5" s="43">
        <v>2436</v>
      </c>
      <c r="F5" s="43">
        <v>2401</v>
      </c>
      <c r="G5" s="43">
        <v>2379</v>
      </c>
    </row>
    <row r="6" spans="1:9" x14ac:dyDescent="0.2">
      <c r="A6" s="44" t="s">
        <v>129</v>
      </c>
      <c r="B6" s="45">
        <v>186</v>
      </c>
      <c r="C6" s="45">
        <v>196</v>
      </c>
      <c r="D6" s="45">
        <v>200</v>
      </c>
      <c r="E6" s="45">
        <v>279</v>
      </c>
      <c r="F6" s="45">
        <v>265</v>
      </c>
      <c r="G6" s="45">
        <v>255</v>
      </c>
    </row>
    <row r="7" spans="1:9" x14ac:dyDescent="0.2">
      <c r="A7" s="42" t="s">
        <v>130</v>
      </c>
      <c r="B7" s="43">
        <v>111</v>
      </c>
      <c r="C7" s="42">
        <v>110</v>
      </c>
      <c r="D7" s="42">
        <v>108</v>
      </c>
      <c r="E7" s="42">
        <v>137</v>
      </c>
      <c r="F7" s="42">
        <v>110</v>
      </c>
      <c r="G7" s="42">
        <v>120</v>
      </c>
    </row>
    <row r="8" spans="1:9" x14ac:dyDescent="0.2">
      <c r="A8" s="44" t="s">
        <v>131</v>
      </c>
      <c r="B8" s="45">
        <v>759</v>
      </c>
      <c r="C8" s="44">
        <v>897</v>
      </c>
      <c r="D8" s="44">
        <v>954</v>
      </c>
      <c r="E8" s="44">
        <v>1031</v>
      </c>
      <c r="F8" s="44">
        <v>960</v>
      </c>
      <c r="G8" s="44">
        <v>1026</v>
      </c>
    </row>
    <row r="9" spans="1:9" x14ac:dyDescent="0.2">
      <c r="A9" s="42" t="s">
        <v>133</v>
      </c>
      <c r="B9" s="43">
        <v>53</v>
      </c>
      <c r="C9" s="42">
        <v>107</v>
      </c>
      <c r="D9" s="42">
        <v>144</v>
      </c>
      <c r="E9" s="42">
        <v>168</v>
      </c>
      <c r="F9" s="42">
        <v>190</v>
      </c>
      <c r="G9" s="42">
        <v>186</v>
      </c>
    </row>
    <row r="10" spans="1:9" x14ac:dyDescent="0.2">
      <c r="A10" s="44" t="s">
        <v>134</v>
      </c>
      <c r="B10" s="45">
        <v>183</v>
      </c>
      <c r="C10" s="44">
        <v>201</v>
      </c>
      <c r="D10" s="44">
        <v>186</v>
      </c>
      <c r="E10" s="44">
        <v>202</v>
      </c>
      <c r="F10" s="44">
        <v>253</v>
      </c>
      <c r="G10" s="44">
        <v>243</v>
      </c>
    </row>
    <row r="11" spans="1:9" x14ac:dyDescent="0.2">
      <c r="A11" s="80" t="s">
        <v>137</v>
      </c>
      <c r="B11" s="81">
        <v>3143</v>
      </c>
      <c r="C11" s="80">
        <v>3598</v>
      </c>
      <c r="D11" s="80">
        <v>3853</v>
      </c>
      <c r="E11" s="80">
        <v>4023</v>
      </c>
      <c r="F11" s="80">
        <v>3925</v>
      </c>
      <c r="G11" s="80">
        <v>3962</v>
      </c>
    </row>
    <row r="14" spans="1:9" x14ac:dyDescent="0.2">
      <c r="A14" s="83" t="s">
        <v>132</v>
      </c>
      <c r="B14" s="84"/>
      <c r="C14" s="83"/>
      <c r="D14" s="83"/>
      <c r="E14" s="83"/>
      <c r="F14" s="83"/>
      <c r="G14" s="83"/>
      <c r="H14" s="83"/>
      <c r="I14" s="83"/>
    </row>
    <row r="15" spans="1:9" x14ac:dyDescent="0.2">
      <c r="A15" s="83"/>
      <c r="B15" s="84"/>
      <c r="C15" s="83"/>
      <c r="D15" s="83"/>
      <c r="E15" s="83"/>
      <c r="F15" s="83"/>
      <c r="G15" s="83"/>
      <c r="H15" s="83"/>
      <c r="I15" s="83"/>
    </row>
    <row r="16" spans="1:9" x14ac:dyDescent="0.2">
      <c r="A16" s="83" t="s">
        <v>135</v>
      </c>
      <c r="B16" s="83"/>
      <c r="C16" s="83"/>
      <c r="D16" s="83"/>
      <c r="E16" s="83"/>
      <c r="F16" s="83"/>
      <c r="G16" s="83"/>
      <c r="H16" s="83"/>
      <c r="I16" s="83"/>
    </row>
    <row r="17" spans="1:5" x14ac:dyDescent="0.2">
      <c r="A17" s="55"/>
      <c r="B17" s="55"/>
      <c r="C17" s="55"/>
      <c r="D17" s="55"/>
      <c r="E17" s="55"/>
    </row>
    <row r="18" spans="1:5" x14ac:dyDescent="0.2">
      <c r="A18" s="55"/>
      <c r="B18" s="55"/>
      <c r="C18" s="55"/>
      <c r="D18" s="55"/>
      <c r="E18" s="55"/>
    </row>
    <row r="19" spans="1:5" x14ac:dyDescent="0.2">
      <c r="A19" s="55"/>
      <c r="B19" s="55"/>
      <c r="C19" s="55"/>
      <c r="D19" s="55"/>
      <c r="E19" s="55"/>
    </row>
    <row r="20" spans="1:5" x14ac:dyDescent="0.2">
      <c r="A20" s="55"/>
      <c r="B20" s="55"/>
      <c r="C20" s="55"/>
      <c r="D20" s="55"/>
      <c r="E20" s="55"/>
    </row>
    <row r="21" spans="1:5" x14ac:dyDescent="0.2">
      <c r="A21" s="55"/>
      <c r="B21" s="55"/>
    </row>
    <row r="22" spans="1:5" x14ac:dyDescent="0.2">
      <c r="A22" s="55"/>
    </row>
    <row r="23" spans="1:5" x14ac:dyDescent="0.2">
      <c r="A23" s="55"/>
    </row>
    <row r="24" spans="1:5" x14ac:dyDescent="0.2">
      <c r="A24" s="55"/>
    </row>
    <row r="25" spans="1:5" x14ac:dyDescent="0.2">
      <c r="A25" s="55"/>
    </row>
    <row r="26" spans="1:5" x14ac:dyDescent="0.2">
      <c r="A26" s="55"/>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9"/>
  <sheetViews>
    <sheetView topLeftCell="A79" workbookViewId="0">
      <selection activeCell="A2" sqref="A2"/>
    </sheetView>
  </sheetViews>
  <sheetFormatPr defaultRowHeight="15" x14ac:dyDescent="0.2"/>
  <cols>
    <col min="1" max="1" width="18" customWidth="1"/>
    <col min="2" max="2" width="27.33203125" customWidth="1"/>
    <col min="3" max="8" width="3.88671875" bestFit="1" customWidth="1"/>
    <col min="9" max="9" width="8.33203125" customWidth="1"/>
  </cols>
  <sheetData>
    <row r="2" spans="1:11" ht="15.75" x14ac:dyDescent="0.25">
      <c r="A2" s="1" t="s">
        <v>286</v>
      </c>
      <c r="E2" s="2"/>
      <c r="F2" s="1"/>
      <c r="G2" s="1"/>
      <c r="H2" s="1"/>
    </row>
    <row r="3" spans="1:11" x14ac:dyDescent="0.2">
      <c r="A3" s="50"/>
      <c r="B3" s="50"/>
      <c r="C3" s="50"/>
      <c r="D3" s="50"/>
      <c r="E3" s="50"/>
      <c r="F3" s="50"/>
      <c r="G3" s="50"/>
      <c r="H3" s="50"/>
    </row>
    <row r="4" spans="1:11" ht="15.75" thickBot="1" x14ac:dyDescent="0.25">
      <c r="A4" s="40" t="s">
        <v>138</v>
      </c>
      <c r="B4" s="41" t="s">
        <v>97</v>
      </c>
      <c r="C4" s="41">
        <v>2010</v>
      </c>
      <c r="D4" s="41">
        <v>2011</v>
      </c>
      <c r="E4" s="41">
        <v>2012</v>
      </c>
      <c r="F4" s="85">
        <v>2013</v>
      </c>
      <c r="G4" s="85">
        <v>2014</v>
      </c>
      <c r="H4" s="85">
        <v>2015</v>
      </c>
    </row>
    <row r="5" spans="1:11" ht="26.25" thickTop="1" x14ac:dyDescent="0.2">
      <c r="A5" s="77" t="s">
        <v>113</v>
      </c>
      <c r="B5" s="76" t="s">
        <v>107</v>
      </c>
      <c r="C5" s="76">
        <v>15</v>
      </c>
      <c r="D5" s="76">
        <v>25</v>
      </c>
      <c r="E5" s="76">
        <v>20</v>
      </c>
      <c r="F5" s="76">
        <v>33</v>
      </c>
      <c r="G5" s="76">
        <v>72</v>
      </c>
      <c r="H5" s="76">
        <v>71</v>
      </c>
    </row>
    <row r="6" spans="1:11" x14ac:dyDescent="0.2">
      <c r="A6" s="72"/>
      <c r="B6" s="71" t="s">
        <v>102</v>
      </c>
      <c r="C6" s="71">
        <v>17</v>
      </c>
      <c r="D6" s="71">
        <v>25</v>
      </c>
      <c r="E6" s="71">
        <v>29</v>
      </c>
      <c r="F6" s="71">
        <v>32</v>
      </c>
      <c r="G6" s="71">
        <v>36</v>
      </c>
      <c r="H6" s="71">
        <v>24</v>
      </c>
      <c r="K6" s="54"/>
    </row>
    <row r="7" spans="1:11" x14ac:dyDescent="0.2">
      <c r="A7" s="77"/>
      <c r="B7" s="76" t="s">
        <v>141</v>
      </c>
      <c r="C7" s="76"/>
      <c r="D7" s="76"/>
      <c r="E7" s="76"/>
      <c r="F7" s="76">
        <v>1</v>
      </c>
      <c r="G7" s="76">
        <v>1</v>
      </c>
      <c r="H7" s="76"/>
    </row>
    <row r="8" spans="1:11" x14ac:dyDescent="0.2">
      <c r="A8" s="72"/>
      <c r="B8" s="71" t="s">
        <v>36</v>
      </c>
      <c r="C8" s="71">
        <v>10</v>
      </c>
      <c r="D8" s="71">
        <v>15</v>
      </c>
      <c r="E8" s="71">
        <v>14</v>
      </c>
      <c r="F8" s="71">
        <v>13</v>
      </c>
      <c r="G8" s="71">
        <v>8</v>
      </c>
      <c r="H8" s="71">
        <v>6</v>
      </c>
    </row>
    <row r="9" spans="1:11" x14ac:dyDescent="0.2">
      <c r="A9" s="77"/>
      <c r="B9" s="76" t="s">
        <v>103</v>
      </c>
      <c r="C9" s="76">
        <v>6</v>
      </c>
      <c r="D9" s="76">
        <v>6</v>
      </c>
      <c r="E9" s="76">
        <v>4</v>
      </c>
      <c r="F9" s="76">
        <v>6</v>
      </c>
      <c r="G9" s="76">
        <v>10</v>
      </c>
      <c r="H9" s="76">
        <v>11</v>
      </c>
      <c r="K9" s="79"/>
    </row>
    <row r="10" spans="1:11" x14ac:dyDescent="0.2">
      <c r="A10" s="72"/>
      <c r="B10" s="71" t="s">
        <v>101</v>
      </c>
      <c r="C10" s="71">
        <v>17</v>
      </c>
      <c r="D10" s="71">
        <v>13</v>
      </c>
      <c r="E10" s="71">
        <v>20</v>
      </c>
      <c r="F10" s="71">
        <v>19</v>
      </c>
      <c r="G10" s="71">
        <v>4</v>
      </c>
      <c r="H10" s="71">
        <v>1</v>
      </c>
    </row>
    <row r="11" spans="1:11" x14ac:dyDescent="0.2">
      <c r="A11" s="77"/>
      <c r="B11" s="76" t="s">
        <v>104</v>
      </c>
      <c r="C11" s="76">
        <v>8</v>
      </c>
      <c r="D11" s="76">
        <v>10</v>
      </c>
      <c r="E11" s="76">
        <v>15</v>
      </c>
      <c r="F11" s="76">
        <v>12</v>
      </c>
      <c r="G11" s="76">
        <v>5</v>
      </c>
      <c r="H11" s="76">
        <v>11</v>
      </c>
    </row>
    <row r="12" spans="1:11" x14ac:dyDescent="0.2">
      <c r="A12" s="72" t="s">
        <v>114</v>
      </c>
      <c r="B12" s="71" t="s">
        <v>107</v>
      </c>
      <c r="C12" s="71">
        <v>2</v>
      </c>
      <c r="D12" s="71">
        <v>2</v>
      </c>
      <c r="E12" s="71">
        <v>2</v>
      </c>
      <c r="F12" s="71">
        <v>5</v>
      </c>
      <c r="G12" s="71"/>
      <c r="H12" s="71"/>
    </row>
    <row r="13" spans="1:11" x14ac:dyDescent="0.2">
      <c r="A13" s="77"/>
      <c r="B13" s="76" t="s">
        <v>102</v>
      </c>
      <c r="C13" s="76">
        <v>2</v>
      </c>
      <c r="D13" s="76">
        <v>4</v>
      </c>
      <c r="E13" s="76">
        <v>9</v>
      </c>
      <c r="F13" s="76">
        <v>2</v>
      </c>
      <c r="G13" s="76">
        <v>4</v>
      </c>
      <c r="H13" s="76">
        <v>9</v>
      </c>
    </row>
    <row r="14" spans="1:11" x14ac:dyDescent="0.2">
      <c r="A14" s="72"/>
      <c r="B14" s="71" t="s">
        <v>36</v>
      </c>
      <c r="C14" s="71">
        <v>37</v>
      </c>
      <c r="D14" s="71">
        <v>113</v>
      </c>
      <c r="E14" s="71">
        <v>126</v>
      </c>
      <c r="F14" s="71">
        <v>91</v>
      </c>
      <c r="G14" s="71">
        <v>96</v>
      </c>
      <c r="H14" s="71">
        <v>92</v>
      </c>
    </row>
    <row r="15" spans="1:11" x14ac:dyDescent="0.2">
      <c r="A15" s="77"/>
      <c r="B15" s="76" t="s">
        <v>108</v>
      </c>
      <c r="C15" s="76">
        <v>40</v>
      </c>
      <c r="D15" s="76">
        <v>37</v>
      </c>
      <c r="E15" s="76">
        <v>37</v>
      </c>
      <c r="F15" s="76">
        <v>51</v>
      </c>
      <c r="G15" s="76">
        <v>31</v>
      </c>
      <c r="H15" s="76">
        <v>54</v>
      </c>
      <c r="J15" s="54"/>
    </row>
    <row r="16" spans="1:11" x14ac:dyDescent="0.2">
      <c r="A16" s="72"/>
      <c r="B16" s="71" t="s">
        <v>104</v>
      </c>
      <c r="C16" s="71">
        <v>16</v>
      </c>
      <c r="D16" s="71">
        <v>88</v>
      </c>
      <c r="E16" s="71">
        <v>94</v>
      </c>
      <c r="F16" s="71">
        <v>98</v>
      </c>
      <c r="G16" s="71">
        <v>104</v>
      </c>
      <c r="H16" s="71">
        <v>105</v>
      </c>
      <c r="J16" s="54"/>
    </row>
    <row r="17" spans="1:11" x14ac:dyDescent="0.2">
      <c r="A17" s="77" t="s">
        <v>115</v>
      </c>
      <c r="B17" s="76" t="s">
        <v>106</v>
      </c>
      <c r="C17" s="76">
        <v>98</v>
      </c>
      <c r="D17" s="76">
        <v>72</v>
      </c>
      <c r="E17" s="76">
        <v>119</v>
      </c>
      <c r="F17" s="76">
        <v>113</v>
      </c>
      <c r="G17" s="76">
        <v>91</v>
      </c>
      <c r="H17" s="76">
        <v>125</v>
      </c>
      <c r="J17" s="54"/>
    </row>
    <row r="18" spans="1:11" x14ac:dyDescent="0.2">
      <c r="A18" s="72"/>
      <c r="B18" s="71" t="s">
        <v>102</v>
      </c>
      <c r="C18" s="71">
        <v>47</v>
      </c>
      <c r="D18" s="71">
        <v>35</v>
      </c>
      <c r="E18" s="71">
        <v>35</v>
      </c>
      <c r="F18" s="71">
        <v>47</v>
      </c>
      <c r="G18" s="71">
        <v>54</v>
      </c>
      <c r="H18" s="71">
        <v>33</v>
      </c>
    </row>
    <row r="19" spans="1:11" x14ac:dyDescent="0.2">
      <c r="A19" s="77"/>
      <c r="B19" s="76" t="s">
        <v>110</v>
      </c>
      <c r="C19" s="76">
        <v>6</v>
      </c>
      <c r="D19" s="76">
        <v>20</v>
      </c>
      <c r="E19" s="76">
        <v>9</v>
      </c>
      <c r="F19" s="76">
        <v>6</v>
      </c>
      <c r="G19" s="76">
        <v>9</v>
      </c>
      <c r="H19" s="76"/>
    </row>
    <row r="20" spans="1:11" x14ac:dyDescent="0.2">
      <c r="A20" s="72"/>
      <c r="B20" s="71" t="s">
        <v>36</v>
      </c>
      <c r="C20" s="71">
        <v>139</v>
      </c>
      <c r="D20" s="71">
        <v>143</v>
      </c>
      <c r="E20" s="71">
        <v>168</v>
      </c>
      <c r="F20" s="71">
        <v>183</v>
      </c>
      <c r="G20" s="71">
        <v>99</v>
      </c>
      <c r="H20" s="71">
        <v>173</v>
      </c>
    </row>
    <row r="21" spans="1:11" x14ac:dyDescent="0.2">
      <c r="A21" s="77"/>
      <c r="B21" s="76" t="s">
        <v>108</v>
      </c>
      <c r="C21" s="76">
        <v>4</v>
      </c>
      <c r="D21" s="76">
        <v>5</v>
      </c>
      <c r="E21" s="76">
        <v>9</v>
      </c>
      <c r="F21" s="76">
        <v>10</v>
      </c>
      <c r="G21" s="76"/>
      <c r="H21" s="76">
        <v>5</v>
      </c>
    </row>
    <row r="22" spans="1:11" x14ac:dyDescent="0.2">
      <c r="A22" s="72"/>
      <c r="B22" s="71" t="s">
        <v>103</v>
      </c>
      <c r="C22" s="71">
        <v>29</v>
      </c>
      <c r="D22" s="71">
        <v>26</v>
      </c>
      <c r="E22" s="71">
        <v>24</v>
      </c>
      <c r="F22" s="71">
        <v>16</v>
      </c>
      <c r="G22" s="71">
        <v>18</v>
      </c>
      <c r="H22" s="71">
        <v>23</v>
      </c>
    </row>
    <row r="23" spans="1:11" x14ac:dyDescent="0.2">
      <c r="A23" s="77"/>
      <c r="B23" s="76" t="s">
        <v>101</v>
      </c>
      <c r="C23" s="76">
        <v>15</v>
      </c>
      <c r="D23" s="76">
        <v>32</v>
      </c>
      <c r="E23" s="76">
        <v>31</v>
      </c>
      <c r="F23" s="76">
        <v>26</v>
      </c>
      <c r="G23" s="76">
        <v>21</v>
      </c>
      <c r="H23" s="76">
        <v>33</v>
      </c>
    </row>
    <row r="24" spans="1:11" x14ac:dyDescent="0.2">
      <c r="A24" s="72"/>
      <c r="B24" s="71" t="s">
        <v>105</v>
      </c>
      <c r="C24" s="71">
        <v>28</v>
      </c>
      <c r="D24" s="71">
        <v>18</v>
      </c>
      <c r="E24" s="71">
        <v>29</v>
      </c>
      <c r="F24" s="71">
        <v>23</v>
      </c>
      <c r="G24" s="71">
        <v>8</v>
      </c>
      <c r="H24" s="71">
        <v>29</v>
      </c>
    </row>
    <row r="25" spans="1:11" x14ac:dyDescent="0.2">
      <c r="A25" s="77"/>
      <c r="B25" s="76" t="s">
        <v>104</v>
      </c>
      <c r="C25" s="76">
        <v>54</v>
      </c>
      <c r="D25" s="76">
        <v>82</v>
      </c>
      <c r="E25" s="76">
        <v>64</v>
      </c>
      <c r="F25" s="76">
        <v>42</v>
      </c>
      <c r="G25" s="76">
        <v>75</v>
      </c>
      <c r="H25" s="76">
        <v>65</v>
      </c>
    </row>
    <row r="26" spans="1:11" x14ac:dyDescent="0.2">
      <c r="A26" s="72"/>
      <c r="B26" s="71" t="s">
        <v>109</v>
      </c>
      <c r="C26" s="71">
        <v>25</v>
      </c>
      <c r="D26" s="71">
        <v>18</v>
      </c>
      <c r="E26" s="71">
        <v>26</v>
      </c>
      <c r="F26" s="71">
        <v>28</v>
      </c>
      <c r="G26" s="71">
        <v>26</v>
      </c>
      <c r="H26" s="71">
        <v>26</v>
      </c>
    </row>
    <row r="27" spans="1:11" x14ac:dyDescent="0.2">
      <c r="A27" s="77"/>
      <c r="B27" s="76" t="s">
        <v>111</v>
      </c>
      <c r="C27" s="76">
        <v>18</v>
      </c>
      <c r="D27" s="76"/>
      <c r="E27" s="76">
        <v>5</v>
      </c>
      <c r="F27" s="76">
        <v>7</v>
      </c>
      <c r="G27" s="76">
        <v>10</v>
      </c>
      <c r="H27" s="76"/>
    </row>
    <row r="28" spans="1:11" x14ac:dyDescent="0.2">
      <c r="A28" s="72" t="s">
        <v>60</v>
      </c>
      <c r="B28" s="71" t="s">
        <v>106</v>
      </c>
      <c r="C28" s="71">
        <v>4</v>
      </c>
      <c r="D28" s="71">
        <v>6</v>
      </c>
      <c r="E28" s="71">
        <v>11</v>
      </c>
      <c r="F28" s="71">
        <v>4</v>
      </c>
      <c r="G28" s="71">
        <v>9</v>
      </c>
      <c r="H28" s="71">
        <v>13</v>
      </c>
      <c r="K28" s="54"/>
    </row>
    <row r="29" spans="1:11" x14ac:dyDescent="0.2">
      <c r="A29" s="77"/>
      <c r="B29" s="76" t="s">
        <v>102</v>
      </c>
      <c r="C29" s="76">
        <v>20</v>
      </c>
      <c r="D29" s="76">
        <v>26</v>
      </c>
      <c r="E29" s="76">
        <v>20</v>
      </c>
      <c r="F29" s="76">
        <v>29</v>
      </c>
      <c r="G29" s="76">
        <v>45</v>
      </c>
      <c r="H29" s="76">
        <v>32</v>
      </c>
    </row>
    <row r="30" spans="1:11" x14ac:dyDescent="0.2">
      <c r="A30" s="72"/>
      <c r="B30" s="71" t="s">
        <v>142</v>
      </c>
      <c r="C30" s="71"/>
      <c r="D30" s="71">
        <v>1</v>
      </c>
      <c r="E30" s="71">
        <v>1</v>
      </c>
      <c r="F30" s="71"/>
      <c r="G30" s="71"/>
      <c r="H30" s="71">
        <v>2</v>
      </c>
    </row>
    <row r="31" spans="1:11" x14ac:dyDescent="0.2">
      <c r="A31" s="77"/>
      <c r="B31" s="76" t="s">
        <v>36</v>
      </c>
      <c r="C31" s="76">
        <v>28</v>
      </c>
      <c r="D31" s="76">
        <v>40</v>
      </c>
      <c r="E31" s="76">
        <v>50</v>
      </c>
      <c r="F31" s="76">
        <v>74</v>
      </c>
      <c r="G31" s="76">
        <v>73</v>
      </c>
      <c r="H31" s="76">
        <v>56</v>
      </c>
    </row>
    <row r="32" spans="1:11" x14ac:dyDescent="0.2">
      <c r="A32" s="72"/>
      <c r="B32" s="71" t="s">
        <v>108</v>
      </c>
      <c r="C32" s="71">
        <v>11</v>
      </c>
      <c r="D32" s="71">
        <v>13</v>
      </c>
      <c r="E32" s="71">
        <v>15</v>
      </c>
      <c r="F32" s="71">
        <v>16</v>
      </c>
      <c r="G32" s="71">
        <v>11</v>
      </c>
      <c r="H32" s="71">
        <v>13</v>
      </c>
    </row>
    <row r="33" spans="1:11" x14ac:dyDescent="0.2">
      <c r="A33" s="77"/>
      <c r="B33" s="76" t="s">
        <v>103</v>
      </c>
      <c r="C33" s="76">
        <v>15</v>
      </c>
      <c r="D33" s="76">
        <v>36</v>
      </c>
      <c r="E33" s="76">
        <v>27</v>
      </c>
      <c r="F33" s="76">
        <v>25</v>
      </c>
      <c r="G33" s="76">
        <v>27</v>
      </c>
      <c r="H33" s="76">
        <v>25</v>
      </c>
    </row>
    <row r="34" spans="1:11" x14ac:dyDescent="0.2">
      <c r="A34" s="72"/>
      <c r="B34" s="71" t="s">
        <v>101</v>
      </c>
      <c r="C34" s="71">
        <v>7</v>
      </c>
      <c r="D34" s="71">
        <v>6</v>
      </c>
      <c r="E34" s="71">
        <v>11</v>
      </c>
      <c r="F34" s="71">
        <v>9</v>
      </c>
      <c r="G34" s="71">
        <v>10</v>
      </c>
      <c r="H34" s="71">
        <v>7</v>
      </c>
    </row>
    <row r="35" spans="1:11" x14ac:dyDescent="0.2">
      <c r="A35" s="77"/>
      <c r="B35" s="76" t="s">
        <v>105</v>
      </c>
      <c r="C35" s="76">
        <v>41</v>
      </c>
      <c r="D35" s="76">
        <v>45</v>
      </c>
      <c r="E35" s="76">
        <v>36</v>
      </c>
      <c r="F35" s="76">
        <v>47</v>
      </c>
      <c r="G35" s="76">
        <v>44</v>
      </c>
      <c r="H35" s="76">
        <v>27</v>
      </c>
    </row>
    <row r="36" spans="1:11" x14ac:dyDescent="0.2">
      <c r="A36" s="72"/>
      <c r="B36" s="71" t="s">
        <v>104</v>
      </c>
      <c r="C36" s="71">
        <v>29</v>
      </c>
      <c r="D36" s="71">
        <v>39</v>
      </c>
      <c r="E36" s="71">
        <v>42</v>
      </c>
      <c r="F36" s="71">
        <v>15</v>
      </c>
      <c r="G36" s="71">
        <v>48</v>
      </c>
      <c r="H36" s="71">
        <v>24</v>
      </c>
    </row>
    <row r="37" spans="1:11" ht="25.5" x14ac:dyDescent="0.2">
      <c r="A37" s="77" t="s">
        <v>116</v>
      </c>
      <c r="B37" s="76" t="s">
        <v>106</v>
      </c>
      <c r="C37" s="76">
        <v>11</v>
      </c>
      <c r="D37" s="76">
        <v>12</v>
      </c>
      <c r="E37" s="76">
        <v>32</v>
      </c>
      <c r="F37" s="76">
        <v>19</v>
      </c>
      <c r="G37" s="76">
        <v>25</v>
      </c>
      <c r="H37" s="76">
        <v>26</v>
      </c>
    </row>
    <row r="38" spans="1:11" x14ac:dyDescent="0.2">
      <c r="A38" s="72"/>
      <c r="B38" s="71" t="s">
        <v>107</v>
      </c>
      <c r="C38" s="71"/>
      <c r="D38" s="71">
        <v>1</v>
      </c>
      <c r="E38" s="71">
        <v>1</v>
      </c>
      <c r="F38" s="71"/>
      <c r="G38" s="71"/>
      <c r="H38" s="71"/>
    </row>
    <row r="39" spans="1:11" x14ac:dyDescent="0.2">
      <c r="A39" s="77"/>
      <c r="B39" s="76" t="s">
        <v>102</v>
      </c>
      <c r="C39" s="76">
        <v>33</v>
      </c>
      <c r="D39" s="76">
        <v>38</v>
      </c>
      <c r="E39" s="76">
        <v>49</v>
      </c>
      <c r="F39" s="76">
        <v>51</v>
      </c>
      <c r="G39" s="76">
        <v>50</v>
      </c>
      <c r="H39" s="76">
        <v>44</v>
      </c>
      <c r="K39" s="54"/>
    </row>
    <row r="40" spans="1:11" x14ac:dyDescent="0.2">
      <c r="A40" s="72"/>
      <c r="B40" s="71" t="s">
        <v>36</v>
      </c>
      <c r="C40" s="71">
        <v>113</v>
      </c>
      <c r="D40" s="71">
        <v>131</v>
      </c>
      <c r="E40" s="71">
        <v>117</v>
      </c>
      <c r="F40" s="71">
        <v>149</v>
      </c>
      <c r="G40" s="71">
        <v>120</v>
      </c>
      <c r="H40" s="71">
        <v>151</v>
      </c>
    </row>
    <row r="41" spans="1:11" x14ac:dyDescent="0.2">
      <c r="A41" s="77"/>
      <c r="B41" s="76" t="s">
        <v>103</v>
      </c>
      <c r="C41" s="76">
        <v>70</v>
      </c>
      <c r="D41" s="76">
        <v>64</v>
      </c>
      <c r="E41" s="76">
        <v>77</v>
      </c>
      <c r="F41" s="76">
        <v>113</v>
      </c>
      <c r="G41" s="76">
        <v>76</v>
      </c>
      <c r="H41" s="76">
        <v>80</v>
      </c>
    </row>
    <row r="42" spans="1:11" x14ac:dyDescent="0.2">
      <c r="A42" s="72"/>
      <c r="B42" s="71" t="s">
        <v>101</v>
      </c>
      <c r="C42" s="71">
        <v>3</v>
      </c>
      <c r="D42" s="71">
        <v>7</v>
      </c>
      <c r="E42" s="71">
        <v>4</v>
      </c>
      <c r="F42" s="71">
        <v>8</v>
      </c>
      <c r="G42" s="71">
        <v>13</v>
      </c>
      <c r="H42" s="71">
        <v>15</v>
      </c>
    </row>
    <row r="43" spans="1:11" x14ac:dyDescent="0.2">
      <c r="A43" s="77"/>
      <c r="B43" s="76" t="s">
        <v>105</v>
      </c>
      <c r="C43" s="76">
        <v>26</v>
      </c>
      <c r="D43" s="76">
        <v>15</v>
      </c>
      <c r="E43" s="76">
        <v>14</v>
      </c>
      <c r="F43" s="76">
        <v>14</v>
      </c>
      <c r="G43" s="76">
        <v>13</v>
      </c>
      <c r="H43" s="76">
        <v>22</v>
      </c>
    </row>
    <row r="44" spans="1:11" x14ac:dyDescent="0.2">
      <c r="A44" s="72"/>
      <c r="B44" s="71" t="s">
        <v>104</v>
      </c>
      <c r="C44" s="71">
        <v>14</v>
      </c>
      <c r="D44" s="71">
        <v>28</v>
      </c>
      <c r="E44" s="71">
        <v>24</v>
      </c>
      <c r="F44" s="71">
        <v>35</v>
      </c>
      <c r="G44" s="71">
        <v>24</v>
      </c>
      <c r="H44" s="71">
        <v>35</v>
      </c>
    </row>
    <row r="45" spans="1:11" x14ac:dyDescent="0.2">
      <c r="A45" s="77" t="s">
        <v>117</v>
      </c>
      <c r="B45" s="76" t="s">
        <v>106</v>
      </c>
      <c r="C45" s="76">
        <v>26</v>
      </c>
      <c r="D45" s="76">
        <v>41</v>
      </c>
      <c r="E45" s="76">
        <v>32</v>
      </c>
      <c r="F45" s="76">
        <v>32</v>
      </c>
      <c r="G45" s="76">
        <v>56</v>
      </c>
      <c r="H45" s="76">
        <v>51</v>
      </c>
    </row>
    <row r="46" spans="1:11" x14ac:dyDescent="0.2">
      <c r="A46" s="72"/>
      <c r="B46" s="71" t="s">
        <v>194</v>
      </c>
      <c r="C46" s="71"/>
      <c r="D46" s="71"/>
      <c r="E46" s="71"/>
      <c r="F46" s="71"/>
      <c r="G46" s="71">
        <v>22</v>
      </c>
      <c r="H46" s="71">
        <v>6</v>
      </c>
    </row>
    <row r="47" spans="1:11" x14ac:dyDescent="0.2">
      <c r="A47" s="77"/>
      <c r="B47" s="76" t="s">
        <v>102</v>
      </c>
      <c r="C47" s="76">
        <v>25</v>
      </c>
      <c r="D47" s="76">
        <v>29</v>
      </c>
      <c r="E47" s="76">
        <v>38</v>
      </c>
      <c r="F47" s="76">
        <v>58</v>
      </c>
      <c r="G47" s="76">
        <v>52</v>
      </c>
      <c r="H47" s="76">
        <v>6</v>
      </c>
    </row>
    <row r="48" spans="1:11" x14ac:dyDescent="0.2">
      <c r="A48" s="72"/>
      <c r="B48" s="71" t="s">
        <v>110</v>
      </c>
      <c r="C48" s="71">
        <v>2</v>
      </c>
      <c r="D48" s="71">
        <v>3</v>
      </c>
      <c r="E48" s="71">
        <v>2</v>
      </c>
      <c r="F48" s="71">
        <v>4</v>
      </c>
      <c r="G48" s="71">
        <v>1</v>
      </c>
      <c r="H48" s="71">
        <v>52</v>
      </c>
    </row>
    <row r="49" spans="1:10" x14ac:dyDescent="0.2">
      <c r="A49" s="77"/>
      <c r="B49" s="76" t="s">
        <v>36</v>
      </c>
      <c r="C49" s="76">
        <v>134</v>
      </c>
      <c r="D49" s="76">
        <v>161</v>
      </c>
      <c r="E49" s="76">
        <v>153</v>
      </c>
      <c r="F49" s="76">
        <v>156</v>
      </c>
      <c r="G49" s="76">
        <v>184</v>
      </c>
      <c r="H49" s="76">
        <v>1</v>
      </c>
    </row>
    <row r="50" spans="1:10" x14ac:dyDescent="0.2">
      <c r="A50" s="72"/>
      <c r="B50" s="71" t="s">
        <v>108</v>
      </c>
      <c r="C50" s="71">
        <v>14</v>
      </c>
      <c r="D50" s="71">
        <v>21</v>
      </c>
      <c r="E50" s="71">
        <v>11</v>
      </c>
      <c r="F50" s="71">
        <v>9</v>
      </c>
      <c r="G50" s="71">
        <v>20</v>
      </c>
      <c r="H50" s="71">
        <v>184</v>
      </c>
    </row>
    <row r="51" spans="1:10" x14ac:dyDescent="0.2">
      <c r="A51" s="77"/>
      <c r="B51" s="76" t="s">
        <v>103</v>
      </c>
      <c r="C51" s="76">
        <v>28</v>
      </c>
      <c r="D51" s="76">
        <v>26</v>
      </c>
      <c r="E51" s="76">
        <v>31</v>
      </c>
      <c r="F51" s="76">
        <v>46</v>
      </c>
      <c r="G51" s="76">
        <v>53</v>
      </c>
      <c r="H51" s="76">
        <v>20</v>
      </c>
    </row>
    <row r="52" spans="1:10" x14ac:dyDescent="0.2">
      <c r="A52" s="72"/>
      <c r="B52" s="71" t="s">
        <v>101</v>
      </c>
      <c r="C52" s="71">
        <v>112</v>
      </c>
      <c r="D52" s="71">
        <v>106</v>
      </c>
      <c r="E52" s="71">
        <v>114</v>
      </c>
      <c r="F52" s="71">
        <v>141</v>
      </c>
      <c r="G52" s="71">
        <v>144</v>
      </c>
      <c r="H52" s="71">
        <v>53</v>
      </c>
    </row>
    <row r="53" spans="1:10" x14ac:dyDescent="0.2">
      <c r="A53" s="77"/>
      <c r="B53" s="76" t="s">
        <v>104</v>
      </c>
      <c r="C53" s="76">
        <v>14</v>
      </c>
      <c r="D53" s="76">
        <v>10</v>
      </c>
      <c r="E53" s="76">
        <v>9</v>
      </c>
      <c r="F53" s="76">
        <v>7</v>
      </c>
      <c r="G53" s="76">
        <v>4</v>
      </c>
      <c r="H53" s="76">
        <v>144</v>
      </c>
    </row>
    <row r="54" spans="1:10" x14ac:dyDescent="0.2">
      <c r="A54" s="72"/>
      <c r="B54" s="71" t="s">
        <v>109</v>
      </c>
      <c r="C54" s="71">
        <v>3</v>
      </c>
      <c r="D54" s="71">
        <v>2</v>
      </c>
      <c r="E54" s="71"/>
      <c r="F54" s="71">
        <v>4</v>
      </c>
      <c r="G54" s="71">
        <v>2</v>
      </c>
      <c r="H54" s="71"/>
    </row>
    <row r="55" spans="1:10" x14ac:dyDescent="0.2">
      <c r="A55" s="77" t="s">
        <v>118</v>
      </c>
      <c r="B55" s="76" t="s">
        <v>106</v>
      </c>
      <c r="C55" s="76">
        <v>6</v>
      </c>
      <c r="D55" s="76">
        <v>25</v>
      </c>
      <c r="E55" s="76">
        <v>27</v>
      </c>
      <c r="F55" s="76">
        <v>31</v>
      </c>
      <c r="G55" s="76">
        <v>34</v>
      </c>
      <c r="H55" s="76">
        <v>26</v>
      </c>
    </row>
    <row r="56" spans="1:10" x14ac:dyDescent="0.2">
      <c r="A56" s="72"/>
      <c r="B56" s="71" t="s">
        <v>107</v>
      </c>
      <c r="C56" s="71">
        <v>5</v>
      </c>
      <c r="D56" s="71">
        <v>1</v>
      </c>
      <c r="E56" s="71">
        <v>3</v>
      </c>
      <c r="F56" s="71">
        <v>8</v>
      </c>
      <c r="G56" s="71"/>
      <c r="H56" s="71"/>
    </row>
    <row r="57" spans="1:10" x14ac:dyDescent="0.2">
      <c r="A57" s="77"/>
      <c r="B57" s="76" t="s">
        <v>102</v>
      </c>
      <c r="C57" s="76">
        <v>9</v>
      </c>
      <c r="D57" s="76">
        <v>12</v>
      </c>
      <c r="E57" s="76">
        <v>17</v>
      </c>
      <c r="F57" s="76">
        <v>15</v>
      </c>
      <c r="G57" s="76">
        <v>9</v>
      </c>
      <c r="H57" s="76">
        <v>5</v>
      </c>
    </row>
    <row r="58" spans="1:10" x14ac:dyDescent="0.2">
      <c r="A58" s="72"/>
      <c r="B58" s="71" t="s">
        <v>36</v>
      </c>
      <c r="C58" s="71">
        <v>50</v>
      </c>
      <c r="D58" s="71">
        <v>65</v>
      </c>
      <c r="E58" s="71">
        <v>46</v>
      </c>
      <c r="F58" s="71">
        <v>36</v>
      </c>
      <c r="G58" s="71">
        <v>47</v>
      </c>
      <c r="H58" s="71">
        <v>46</v>
      </c>
      <c r="J58" s="54"/>
    </row>
    <row r="59" spans="1:10" x14ac:dyDescent="0.2">
      <c r="A59" s="77"/>
      <c r="B59" s="76" t="s">
        <v>108</v>
      </c>
      <c r="C59" s="76">
        <v>4</v>
      </c>
      <c r="D59" s="76">
        <v>10</v>
      </c>
      <c r="E59" s="76">
        <v>6</v>
      </c>
      <c r="F59" s="76">
        <v>6</v>
      </c>
      <c r="G59" s="76">
        <v>4</v>
      </c>
      <c r="H59" s="76">
        <v>4</v>
      </c>
    </row>
    <row r="60" spans="1:10" x14ac:dyDescent="0.2">
      <c r="A60" s="72"/>
      <c r="B60" s="71" t="s">
        <v>103</v>
      </c>
      <c r="C60" s="71">
        <v>8</v>
      </c>
      <c r="D60" s="71">
        <v>14</v>
      </c>
      <c r="E60" s="71">
        <v>12</v>
      </c>
      <c r="F60" s="71">
        <v>9</v>
      </c>
      <c r="G60" s="71">
        <v>11</v>
      </c>
      <c r="H60" s="71">
        <v>10</v>
      </c>
    </row>
    <row r="61" spans="1:10" x14ac:dyDescent="0.2">
      <c r="A61" s="77"/>
      <c r="B61" s="76" t="s">
        <v>101</v>
      </c>
      <c r="C61" s="76">
        <v>11</v>
      </c>
      <c r="D61" s="76">
        <v>16</v>
      </c>
      <c r="E61" s="76">
        <v>15</v>
      </c>
      <c r="F61" s="76">
        <v>19</v>
      </c>
      <c r="G61" s="76">
        <v>13</v>
      </c>
      <c r="H61" s="76">
        <v>12</v>
      </c>
    </row>
    <row r="62" spans="1:10" x14ac:dyDescent="0.2">
      <c r="A62" s="72"/>
      <c r="B62" s="71" t="s">
        <v>105</v>
      </c>
      <c r="C62" s="71">
        <v>10</v>
      </c>
      <c r="D62" s="71">
        <v>10</v>
      </c>
      <c r="E62" s="71">
        <v>20</v>
      </c>
      <c r="F62" s="71">
        <v>13</v>
      </c>
      <c r="G62" s="71">
        <v>13</v>
      </c>
      <c r="H62" s="71">
        <v>10</v>
      </c>
    </row>
    <row r="63" spans="1:10" x14ac:dyDescent="0.2">
      <c r="A63" s="77"/>
      <c r="B63" s="76" t="s">
        <v>104</v>
      </c>
      <c r="C63" s="76">
        <v>13</v>
      </c>
      <c r="D63" s="76">
        <v>14</v>
      </c>
      <c r="E63" s="76">
        <v>16</v>
      </c>
      <c r="F63" s="76">
        <v>15</v>
      </c>
      <c r="G63" s="76">
        <v>21</v>
      </c>
      <c r="H63" s="76">
        <v>12</v>
      </c>
    </row>
    <row r="64" spans="1:10" ht="25.5" x14ac:dyDescent="0.2">
      <c r="A64" s="72" t="s">
        <v>119</v>
      </c>
      <c r="B64" s="71" t="s">
        <v>106</v>
      </c>
      <c r="C64" s="71">
        <v>22</v>
      </c>
      <c r="D64" s="71">
        <v>13</v>
      </c>
      <c r="E64" s="71">
        <v>22</v>
      </c>
      <c r="F64" s="71">
        <v>18</v>
      </c>
      <c r="G64" s="71">
        <v>27</v>
      </c>
      <c r="H64" s="71">
        <v>30</v>
      </c>
    </row>
    <row r="65" spans="1:10" x14ac:dyDescent="0.2">
      <c r="A65" s="77"/>
      <c r="B65" s="76" t="s">
        <v>107</v>
      </c>
      <c r="C65" s="76">
        <v>17</v>
      </c>
      <c r="D65" s="76">
        <v>27</v>
      </c>
      <c r="E65" s="76">
        <v>31</v>
      </c>
      <c r="F65" s="76">
        <v>27</v>
      </c>
      <c r="G65" s="76"/>
      <c r="H65" s="76"/>
    </row>
    <row r="66" spans="1:10" x14ac:dyDescent="0.2">
      <c r="A66" s="72"/>
      <c r="B66" s="71" t="s">
        <v>102</v>
      </c>
      <c r="C66" s="71">
        <v>32</v>
      </c>
      <c r="D66" s="71">
        <v>20</v>
      </c>
      <c r="E66" s="71">
        <v>32</v>
      </c>
      <c r="F66" s="71">
        <v>30</v>
      </c>
      <c r="G66" s="71">
        <v>23</v>
      </c>
      <c r="H66" s="71">
        <v>33</v>
      </c>
    </row>
    <row r="67" spans="1:10" x14ac:dyDescent="0.2">
      <c r="A67" s="77"/>
      <c r="B67" s="76" t="s">
        <v>110</v>
      </c>
      <c r="C67" s="76"/>
      <c r="D67" s="76"/>
      <c r="E67" s="76"/>
      <c r="F67" s="76"/>
      <c r="G67" s="76">
        <v>4</v>
      </c>
      <c r="H67" s="76">
        <v>5</v>
      </c>
    </row>
    <row r="68" spans="1:10" x14ac:dyDescent="0.2">
      <c r="A68" s="72"/>
      <c r="B68" s="71" t="s">
        <v>36</v>
      </c>
      <c r="C68" s="71">
        <v>52</v>
      </c>
      <c r="D68" s="71">
        <v>58</v>
      </c>
      <c r="E68" s="71">
        <v>47</v>
      </c>
      <c r="F68" s="71">
        <v>32</v>
      </c>
      <c r="G68" s="71">
        <v>59</v>
      </c>
      <c r="H68" s="71">
        <v>32</v>
      </c>
      <c r="J68" s="54"/>
    </row>
    <row r="69" spans="1:10" x14ac:dyDescent="0.2">
      <c r="A69" s="77"/>
      <c r="B69" s="76" t="s">
        <v>108</v>
      </c>
      <c r="C69" s="76">
        <v>3</v>
      </c>
      <c r="D69" s="76">
        <v>8</v>
      </c>
      <c r="E69" s="76">
        <v>4</v>
      </c>
      <c r="F69" s="76">
        <v>6</v>
      </c>
      <c r="G69" s="76">
        <v>3</v>
      </c>
      <c r="H69" s="76">
        <v>5</v>
      </c>
    </row>
    <row r="70" spans="1:10" x14ac:dyDescent="0.2">
      <c r="A70" s="72"/>
      <c r="B70" s="71" t="s">
        <v>103</v>
      </c>
      <c r="C70" s="71">
        <v>8</v>
      </c>
      <c r="D70" s="71">
        <v>8</v>
      </c>
      <c r="E70" s="71">
        <v>13</v>
      </c>
      <c r="F70" s="71">
        <v>10</v>
      </c>
      <c r="G70" s="71">
        <v>22</v>
      </c>
      <c r="H70" s="71">
        <v>29</v>
      </c>
    </row>
    <row r="71" spans="1:10" x14ac:dyDescent="0.2">
      <c r="A71" s="77"/>
      <c r="B71" s="76" t="s">
        <v>101</v>
      </c>
      <c r="C71" s="76">
        <v>18</v>
      </c>
      <c r="D71" s="76">
        <v>48</v>
      </c>
      <c r="E71" s="76">
        <v>23</v>
      </c>
      <c r="F71" s="76">
        <v>22</v>
      </c>
      <c r="G71" s="76">
        <v>28</v>
      </c>
      <c r="H71" s="76">
        <v>24</v>
      </c>
    </row>
    <row r="72" spans="1:10" x14ac:dyDescent="0.2">
      <c r="A72" s="72"/>
      <c r="B72" s="71" t="s">
        <v>105</v>
      </c>
      <c r="C72" s="71">
        <v>18</v>
      </c>
      <c r="D72" s="71">
        <v>22</v>
      </c>
      <c r="E72" s="71">
        <v>22</v>
      </c>
      <c r="F72" s="71">
        <v>24</v>
      </c>
      <c r="G72" s="71">
        <v>20</v>
      </c>
      <c r="H72" s="71">
        <v>10</v>
      </c>
    </row>
    <row r="73" spans="1:10" x14ac:dyDescent="0.2">
      <c r="A73" s="77"/>
      <c r="B73" s="76" t="s">
        <v>104</v>
      </c>
      <c r="C73" s="76">
        <v>24</v>
      </c>
      <c r="D73" s="76">
        <v>24</v>
      </c>
      <c r="E73" s="76">
        <v>22</v>
      </c>
      <c r="F73" s="76">
        <v>8</v>
      </c>
      <c r="G73" s="76">
        <v>26</v>
      </c>
      <c r="H73" s="76">
        <v>24</v>
      </c>
    </row>
    <row r="74" spans="1:10" x14ac:dyDescent="0.2">
      <c r="A74" s="72" t="s">
        <v>120</v>
      </c>
      <c r="B74" s="71" t="s">
        <v>106</v>
      </c>
      <c r="C74" s="71">
        <v>22</v>
      </c>
      <c r="D74" s="71">
        <v>27</v>
      </c>
      <c r="E74" s="71">
        <v>42</v>
      </c>
      <c r="F74" s="71">
        <v>37</v>
      </c>
      <c r="G74" s="71">
        <v>36</v>
      </c>
      <c r="H74" s="71">
        <v>33</v>
      </c>
    </row>
    <row r="75" spans="1:10" x14ac:dyDescent="0.2">
      <c r="A75" s="77"/>
      <c r="B75" s="76" t="s">
        <v>108</v>
      </c>
      <c r="C75" s="76">
        <v>2</v>
      </c>
      <c r="D75" s="76">
        <v>1</v>
      </c>
      <c r="E75" s="76">
        <v>2</v>
      </c>
      <c r="F75" s="76">
        <v>2</v>
      </c>
      <c r="G75" s="76"/>
      <c r="H75" s="76"/>
    </row>
    <row r="76" spans="1:10" x14ac:dyDescent="0.2">
      <c r="A76" s="72"/>
      <c r="B76" s="71" t="s">
        <v>104</v>
      </c>
      <c r="C76" s="71"/>
      <c r="D76" s="71"/>
      <c r="E76" s="71">
        <v>1</v>
      </c>
      <c r="F76" s="71"/>
      <c r="G76" s="71"/>
      <c r="H76" s="71"/>
    </row>
    <row r="77" spans="1:10" ht="25.5" x14ac:dyDescent="0.2">
      <c r="A77" s="77" t="s">
        <v>121</v>
      </c>
      <c r="B77" s="76" t="s">
        <v>106</v>
      </c>
      <c r="C77" s="76">
        <v>4</v>
      </c>
      <c r="D77" s="76">
        <v>1</v>
      </c>
      <c r="E77" s="76">
        <v>2</v>
      </c>
      <c r="F77" s="76">
        <v>3</v>
      </c>
      <c r="G77" s="76">
        <v>7</v>
      </c>
      <c r="H77" s="76">
        <v>3</v>
      </c>
    </row>
    <row r="78" spans="1:10" x14ac:dyDescent="0.2">
      <c r="A78" s="72"/>
      <c r="B78" s="71" t="s">
        <v>107</v>
      </c>
      <c r="C78" s="71">
        <v>22</v>
      </c>
      <c r="D78" s="71">
        <v>16</v>
      </c>
      <c r="E78" s="71">
        <v>22</v>
      </c>
      <c r="F78" s="71">
        <v>26</v>
      </c>
      <c r="G78" s="71"/>
      <c r="H78" s="71"/>
    </row>
    <row r="79" spans="1:10" x14ac:dyDescent="0.2">
      <c r="A79" s="77"/>
      <c r="B79" s="76" t="s">
        <v>102</v>
      </c>
      <c r="C79" s="76">
        <v>66</v>
      </c>
      <c r="D79" s="76">
        <v>56</v>
      </c>
      <c r="E79" s="76">
        <v>67</v>
      </c>
      <c r="F79" s="76">
        <v>80</v>
      </c>
      <c r="G79" s="76">
        <v>81</v>
      </c>
      <c r="H79" s="76">
        <v>62</v>
      </c>
    </row>
    <row r="80" spans="1:10" x14ac:dyDescent="0.2">
      <c r="A80" s="72"/>
      <c r="B80" s="71" t="s">
        <v>36</v>
      </c>
      <c r="C80" s="71">
        <v>232</v>
      </c>
      <c r="D80" s="71">
        <v>249</v>
      </c>
      <c r="E80" s="71">
        <v>248</v>
      </c>
      <c r="F80" s="71">
        <v>265</v>
      </c>
      <c r="G80" s="71">
        <v>245</v>
      </c>
      <c r="H80" s="71">
        <v>247</v>
      </c>
    </row>
    <row r="81" spans="1:12" x14ac:dyDescent="0.2">
      <c r="A81" s="77"/>
      <c r="B81" s="76" t="s">
        <v>103</v>
      </c>
      <c r="C81" s="76">
        <v>73</v>
      </c>
      <c r="D81" s="76">
        <v>47</v>
      </c>
      <c r="E81" s="76">
        <v>98</v>
      </c>
      <c r="F81" s="76">
        <v>115</v>
      </c>
      <c r="G81" s="76">
        <v>114</v>
      </c>
      <c r="H81" s="76">
        <v>101</v>
      </c>
    </row>
    <row r="82" spans="1:12" x14ac:dyDescent="0.2">
      <c r="A82" s="72"/>
      <c r="B82" s="71" t="s">
        <v>101</v>
      </c>
      <c r="C82" s="71">
        <v>144</v>
      </c>
      <c r="D82" s="71">
        <v>176</v>
      </c>
      <c r="E82" s="71">
        <v>187</v>
      </c>
      <c r="F82" s="71">
        <v>201</v>
      </c>
      <c r="G82" s="71">
        <v>199</v>
      </c>
      <c r="H82" s="71">
        <v>206</v>
      </c>
    </row>
    <row r="83" spans="1:12" x14ac:dyDescent="0.2">
      <c r="A83" s="77"/>
      <c r="B83" s="76" t="s">
        <v>105</v>
      </c>
      <c r="C83" s="76">
        <v>61</v>
      </c>
      <c r="D83" s="76">
        <v>63</v>
      </c>
      <c r="E83" s="76">
        <v>65</v>
      </c>
      <c r="F83" s="76">
        <v>57</v>
      </c>
      <c r="G83" s="76">
        <v>46</v>
      </c>
      <c r="H83" s="76">
        <v>65</v>
      </c>
    </row>
    <row r="84" spans="1:12" x14ac:dyDescent="0.2">
      <c r="A84" s="72"/>
      <c r="B84" s="71" t="s">
        <v>104</v>
      </c>
      <c r="C84" s="71">
        <v>79</v>
      </c>
      <c r="D84" s="71">
        <v>110</v>
      </c>
      <c r="E84" s="71">
        <v>111</v>
      </c>
      <c r="F84" s="71">
        <v>111</v>
      </c>
      <c r="G84" s="71">
        <v>119</v>
      </c>
      <c r="H84" s="71">
        <v>115</v>
      </c>
    </row>
    <row r="85" spans="1:12" x14ac:dyDescent="0.2">
      <c r="A85" s="77" t="s">
        <v>122</v>
      </c>
      <c r="B85" s="76" t="s">
        <v>106</v>
      </c>
      <c r="C85" s="76">
        <v>11</v>
      </c>
      <c r="D85" s="76">
        <v>12</v>
      </c>
      <c r="E85" s="76">
        <v>18</v>
      </c>
      <c r="F85" s="76">
        <v>16</v>
      </c>
      <c r="G85" s="76">
        <v>18</v>
      </c>
      <c r="H85" s="76">
        <v>18</v>
      </c>
    </row>
    <row r="86" spans="1:12" x14ac:dyDescent="0.2">
      <c r="A86" s="72"/>
      <c r="B86" s="71" t="s">
        <v>112</v>
      </c>
      <c r="C86" s="71">
        <v>7</v>
      </c>
      <c r="D86" s="71">
        <v>4</v>
      </c>
      <c r="E86" s="71">
        <v>3</v>
      </c>
      <c r="F86" s="71">
        <v>6</v>
      </c>
      <c r="G86" s="71">
        <v>4</v>
      </c>
      <c r="H86" s="71">
        <v>1</v>
      </c>
    </row>
    <row r="87" spans="1:12" x14ac:dyDescent="0.2">
      <c r="A87" s="77"/>
      <c r="B87" s="76" t="s">
        <v>107</v>
      </c>
      <c r="C87" s="76">
        <v>18</v>
      </c>
      <c r="D87" s="76">
        <v>12</v>
      </c>
      <c r="E87" s="76">
        <v>11</v>
      </c>
      <c r="F87" s="76">
        <v>6</v>
      </c>
      <c r="G87" s="76"/>
      <c r="H87" s="76"/>
    </row>
    <row r="88" spans="1:12" x14ac:dyDescent="0.2">
      <c r="A88" s="72"/>
      <c r="B88" s="71" t="s">
        <v>102</v>
      </c>
      <c r="C88" s="71">
        <v>89</v>
      </c>
      <c r="D88" s="71">
        <v>101</v>
      </c>
      <c r="E88" s="71">
        <v>131</v>
      </c>
      <c r="F88" s="71">
        <v>114</v>
      </c>
      <c r="G88" s="71">
        <v>93</v>
      </c>
      <c r="H88" s="71">
        <v>116</v>
      </c>
    </row>
    <row r="89" spans="1:12" x14ac:dyDescent="0.2">
      <c r="A89" s="77"/>
      <c r="B89" s="76" t="s">
        <v>140</v>
      </c>
      <c r="C89" s="76">
        <v>11</v>
      </c>
      <c r="D89" s="76">
        <v>4</v>
      </c>
      <c r="E89" s="76">
        <v>15</v>
      </c>
      <c r="F89" s="76">
        <v>23</v>
      </c>
      <c r="G89" s="76">
        <v>25</v>
      </c>
      <c r="H89" s="76">
        <v>11</v>
      </c>
      <c r="J89" s="54"/>
      <c r="K89" s="54"/>
      <c r="L89" s="106"/>
    </row>
    <row r="90" spans="1:12" x14ac:dyDescent="0.2">
      <c r="A90" s="72"/>
      <c r="B90" s="71" t="s">
        <v>36</v>
      </c>
      <c r="C90" s="71">
        <v>196</v>
      </c>
      <c r="D90" s="71">
        <v>194</v>
      </c>
      <c r="E90" s="71">
        <v>215</v>
      </c>
      <c r="F90" s="71">
        <v>235</v>
      </c>
      <c r="G90" s="71">
        <v>215</v>
      </c>
      <c r="H90" s="71">
        <v>210</v>
      </c>
    </row>
    <row r="91" spans="1:12" x14ac:dyDescent="0.2">
      <c r="A91" s="77"/>
      <c r="B91" s="76" t="s">
        <v>108</v>
      </c>
      <c r="C91" s="76">
        <v>2</v>
      </c>
      <c r="D91" s="76">
        <v>1</v>
      </c>
      <c r="E91" s="76">
        <v>4</v>
      </c>
      <c r="F91" s="76">
        <v>4</v>
      </c>
      <c r="G91" s="76">
        <v>3</v>
      </c>
      <c r="H91" s="76">
        <v>4</v>
      </c>
    </row>
    <row r="92" spans="1:12" x14ac:dyDescent="0.2">
      <c r="A92" s="72"/>
      <c r="B92" s="71" t="s">
        <v>103</v>
      </c>
      <c r="C92" s="71">
        <v>77</v>
      </c>
      <c r="D92" s="71">
        <v>86</v>
      </c>
      <c r="E92" s="71">
        <v>90</v>
      </c>
      <c r="F92" s="71">
        <v>120</v>
      </c>
      <c r="G92" s="71">
        <v>88</v>
      </c>
      <c r="H92" s="71">
        <v>90</v>
      </c>
    </row>
    <row r="93" spans="1:12" x14ac:dyDescent="0.2">
      <c r="A93" s="77"/>
      <c r="B93" s="76" t="s">
        <v>101</v>
      </c>
      <c r="C93" s="76">
        <v>98</v>
      </c>
      <c r="D93" s="76">
        <v>116</v>
      </c>
      <c r="E93" s="76">
        <v>121</v>
      </c>
      <c r="F93" s="76">
        <v>119</v>
      </c>
      <c r="G93" s="76">
        <v>130</v>
      </c>
      <c r="H93" s="76">
        <v>119</v>
      </c>
    </row>
    <row r="94" spans="1:12" x14ac:dyDescent="0.2">
      <c r="A94" s="72"/>
      <c r="B94" s="71" t="s">
        <v>105</v>
      </c>
      <c r="C94" s="71">
        <v>69</v>
      </c>
      <c r="D94" s="71">
        <v>80</v>
      </c>
      <c r="E94" s="71">
        <v>65</v>
      </c>
      <c r="F94" s="71">
        <v>77</v>
      </c>
      <c r="G94" s="71">
        <v>93</v>
      </c>
      <c r="H94" s="71">
        <v>90</v>
      </c>
    </row>
    <row r="95" spans="1:12" x14ac:dyDescent="0.2">
      <c r="A95" s="77"/>
      <c r="B95" s="76" t="s">
        <v>104</v>
      </c>
      <c r="C95" s="76">
        <v>134</v>
      </c>
      <c r="D95" s="76">
        <v>151</v>
      </c>
      <c r="E95" s="76">
        <v>143</v>
      </c>
      <c r="F95" s="76">
        <v>120</v>
      </c>
      <c r="G95" s="76">
        <v>171</v>
      </c>
      <c r="H95" s="76">
        <v>168</v>
      </c>
    </row>
    <row r="96" spans="1:12" x14ac:dyDescent="0.2">
      <c r="A96" s="72" t="s">
        <v>123</v>
      </c>
      <c r="B96" s="71" t="s">
        <v>106</v>
      </c>
      <c r="C96" s="71"/>
      <c r="D96" s="71"/>
      <c r="E96" s="71">
        <v>1</v>
      </c>
      <c r="F96" s="71">
        <v>2</v>
      </c>
      <c r="G96" s="71">
        <v>1</v>
      </c>
      <c r="H96" s="71">
        <v>1</v>
      </c>
    </row>
    <row r="97" spans="1:11" x14ac:dyDescent="0.2">
      <c r="A97" s="82"/>
      <c r="B97" s="76" t="s">
        <v>105</v>
      </c>
      <c r="C97" s="76"/>
      <c r="D97" s="76"/>
      <c r="E97" s="76">
        <v>3</v>
      </c>
      <c r="F97" s="76"/>
      <c r="G97" s="76"/>
      <c r="H97" s="76"/>
    </row>
    <row r="98" spans="1:11" x14ac:dyDescent="0.2">
      <c r="A98" s="192" t="s">
        <v>27</v>
      </c>
      <c r="B98" s="193"/>
      <c r="C98" s="193">
        <v>3143</v>
      </c>
      <c r="D98" s="193">
        <v>3598</v>
      </c>
      <c r="E98" s="193">
        <v>3853</v>
      </c>
      <c r="F98" s="193">
        <v>4023</v>
      </c>
      <c r="G98" s="193">
        <v>3925</v>
      </c>
      <c r="H98" s="193">
        <v>3962</v>
      </c>
    </row>
    <row r="100" spans="1:11" x14ac:dyDescent="0.2">
      <c r="K100" s="54"/>
    </row>
    <row r="116" spans="8:11" x14ac:dyDescent="0.2">
      <c r="K116" s="54"/>
    </row>
    <row r="128" spans="8:11" x14ac:dyDescent="0.2">
      <c r="H128" s="54"/>
      <c r="I128" s="54"/>
    </row>
    <row r="129" spans="8:9" x14ac:dyDescent="0.2">
      <c r="H129" s="54"/>
      <c r="I129" s="54"/>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topLeftCell="A112" workbookViewId="0">
      <selection activeCell="M20" sqref="M20"/>
    </sheetView>
  </sheetViews>
  <sheetFormatPr defaultRowHeight="15" x14ac:dyDescent="0.2"/>
  <cols>
    <col min="1" max="1" width="17.21875" bestFit="1" customWidth="1"/>
    <col min="2" max="2" width="11.21875" bestFit="1" customWidth="1"/>
    <col min="3" max="3" width="14.109375" bestFit="1" customWidth="1"/>
    <col min="4" max="9" width="4.21875" bestFit="1" customWidth="1"/>
  </cols>
  <sheetData>
    <row r="1" spans="1:17" ht="15" customHeight="1" x14ac:dyDescent="0.2"/>
    <row r="2" spans="1:17" ht="15.75" x14ac:dyDescent="0.25">
      <c r="A2" s="197" t="s">
        <v>287</v>
      </c>
      <c r="B2" s="198"/>
      <c r="C2" s="198"/>
      <c r="D2" s="198"/>
      <c r="E2" s="198"/>
      <c r="F2" s="198"/>
      <c r="G2" s="198"/>
      <c r="H2" s="198"/>
      <c r="I2" s="198"/>
      <c r="J2" s="198"/>
      <c r="K2" s="198"/>
    </row>
    <row r="3" spans="1:17" x14ac:dyDescent="0.2">
      <c r="J3" s="66"/>
      <c r="K3" s="66"/>
      <c r="L3" s="66"/>
      <c r="M3" s="61"/>
      <c r="N3" s="61"/>
      <c r="O3" s="61"/>
      <c r="P3" s="61"/>
      <c r="Q3" s="61"/>
    </row>
    <row r="4" spans="1:17" ht="15.75" thickBot="1" x14ac:dyDescent="0.25">
      <c r="A4" s="40" t="s">
        <v>97</v>
      </c>
      <c r="B4" s="41" t="s">
        <v>124</v>
      </c>
      <c r="C4" s="41" t="s">
        <v>138</v>
      </c>
      <c r="D4" s="41">
        <v>2010</v>
      </c>
      <c r="E4" s="41">
        <v>2011</v>
      </c>
      <c r="F4" s="40">
        <v>2012</v>
      </c>
      <c r="G4" s="78">
        <v>2013</v>
      </c>
      <c r="H4" s="40">
        <v>2014</v>
      </c>
      <c r="I4" s="78">
        <v>2015</v>
      </c>
      <c r="J4" s="66"/>
      <c r="K4" s="66"/>
      <c r="L4" s="67"/>
      <c r="M4" s="66"/>
      <c r="N4" s="66"/>
      <c r="O4" s="61"/>
      <c r="P4" s="61"/>
      <c r="Q4" s="61"/>
    </row>
    <row r="5" spans="1:17" ht="26.25" thickTop="1" x14ac:dyDescent="0.2">
      <c r="A5" s="68" t="s">
        <v>106</v>
      </c>
      <c r="B5" s="69">
        <v>1</v>
      </c>
      <c r="C5" s="70" t="s">
        <v>123</v>
      </c>
      <c r="D5" s="108"/>
      <c r="E5" s="108"/>
      <c r="F5" s="108">
        <v>1</v>
      </c>
      <c r="G5" s="109">
        <v>2</v>
      </c>
      <c r="H5" s="108">
        <v>1</v>
      </c>
      <c r="I5" s="109"/>
      <c r="J5" s="61"/>
      <c r="K5" s="61"/>
      <c r="L5" s="67"/>
      <c r="M5" s="66"/>
      <c r="N5" s="66"/>
      <c r="O5" s="61"/>
      <c r="P5" s="61"/>
      <c r="Q5" s="61"/>
    </row>
    <row r="6" spans="1:17" ht="25.5" x14ac:dyDescent="0.2">
      <c r="A6" s="73"/>
      <c r="B6" s="74"/>
      <c r="C6" s="75" t="s">
        <v>121</v>
      </c>
      <c r="D6" s="110"/>
      <c r="E6" s="110"/>
      <c r="F6" s="110"/>
      <c r="G6" s="111">
        <v>1</v>
      </c>
      <c r="H6" s="110">
        <v>1</v>
      </c>
      <c r="I6" s="111"/>
      <c r="J6" s="61"/>
      <c r="K6" s="61"/>
      <c r="L6" s="67"/>
      <c r="M6" s="66"/>
      <c r="N6" s="66"/>
      <c r="O6" s="61"/>
      <c r="P6" s="61"/>
      <c r="Q6" s="61"/>
    </row>
    <row r="7" spans="1:17" x14ac:dyDescent="0.2">
      <c r="A7" s="68"/>
      <c r="B7" s="69"/>
      <c r="C7" s="70" t="s">
        <v>60</v>
      </c>
      <c r="D7" s="108">
        <v>1</v>
      </c>
      <c r="E7" s="108">
        <v>1</v>
      </c>
      <c r="F7" s="108">
        <v>3</v>
      </c>
      <c r="G7" s="109"/>
      <c r="H7" s="108">
        <v>2</v>
      </c>
      <c r="I7" s="109">
        <v>5</v>
      </c>
      <c r="J7" s="61"/>
      <c r="K7" s="61"/>
      <c r="L7" s="67"/>
      <c r="M7" s="66"/>
      <c r="N7" s="66"/>
      <c r="O7" s="61"/>
      <c r="P7" s="61"/>
      <c r="Q7" s="61"/>
    </row>
    <row r="8" spans="1:17" ht="25.5" x14ac:dyDescent="0.2">
      <c r="A8" s="73"/>
      <c r="B8" s="74"/>
      <c r="C8" s="75" t="s">
        <v>119</v>
      </c>
      <c r="D8" s="110">
        <v>3</v>
      </c>
      <c r="E8" s="110">
        <v>3</v>
      </c>
      <c r="F8" s="110">
        <v>1</v>
      </c>
      <c r="G8" s="111">
        <v>1</v>
      </c>
      <c r="H8" s="110">
        <v>8</v>
      </c>
      <c r="I8" s="111">
        <v>6</v>
      </c>
      <c r="J8" s="61"/>
      <c r="K8" s="61"/>
      <c r="L8" s="67"/>
      <c r="M8" s="66"/>
      <c r="N8" s="66"/>
      <c r="O8" s="61"/>
      <c r="P8" s="61"/>
      <c r="Q8" s="61"/>
    </row>
    <row r="9" spans="1:17" x14ac:dyDescent="0.2">
      <c r="A9" s="68"/>
      <c r="B9" s="69"/>
      <c r="C9" s="70" t="s">
        <v>122</v>
      </c>
      <c r="D9" s="108">
        <v>5</v>
      </c>
      <c r="E9" s="108">
        <v>6</v>
      </c>
      <c r="F9" s="108">
        <v>10</v>
      </c>
      <c r="G9" s="109">
        <v>7</v>
      </c>
      <c r="H9" s="108">
        <v>16</v>
      </c>
      <c r="I9" s="109">
        <v>10</v>
      </c>
      <c r="J9" s="61"/>
      <c r="K9" s="61"/>
      <c r="L9" s="67"/>
      <c r="M9" s="66"/>
      <c r="N9" s="66"/>
      <c r="O9" s="61"/>
      <c r="P9" s="61"/>
      <c r="Q9" s="61"/>
    </row>
    <row r="10" spans="1:17" x14ac:dyDescent="0.2">
      <c r="A10" s="73"/>
      <c r="B10" s="74"/>
      <c r="C10" s="75" t="s">
        <v>115</v>
      </c>
      <c r="D10" s="110">
        <v>1</v>
      </c>
      <c r="E10" s="110"/>
      <c r="F10" s="110">
        <v>1</v>
      </c>
      <c r="G10" s="111">
        <v>4</v>
      </c>
      <c r="H10" s="110">
        <v>1</v>
      </c>
      <c r="I10" s="111">
        <v>8</v>
      </c>
      <c r="J10" s="61"/>
      <c r="K10" s="61"/>
      <c r="L10" s="67"/>
      <c r="M10" s="66"/>
      <c r="N10" s="66"/>
      <c r="O10" s="61"/>
      <c r="P10" s="61"/>
      <c r="Q10" s="61"/>
    </row>
    <row r="11" spans="1:17" ht="25.5" x14ac:dyDescent="0.2">
      <c r="A11" s="68"/>
      <c r="B11" s="69"/>
      <c r="C11" s="70" t="s">
        <v>120</v>
      </c>
      <c r="D11" s="108">
        <v>8</v>
      </c>
      <c r="E11" s="108">
        <v>5</v>
      </c>
      <c r="F11" s="108">
        <v>12</v>
      </c>
      <c r="G11" s="109">
        <v>4</v>
      </c>
      <c r="H11" s="108">
        <v>7</v>
      </c>
      <c r="I11" s="109">
        <v>12</v>
      </c>
      <c r="J11" s="66"/>
      <c r="K11" s="66"/>
      <c r="L11" s="67"/>
      <c r="M11" s="66"/>
      <c r="N11" s="66"/>
      <c r="O11" s="61"/>
      <c r="P11" s="61"/>
      <c r="Q11" s="61"/>
    </row>
    <row r="12" spans="1:17" ht="25.5" x14ac:dyDescent="0.2">
      <c r="A12" s="73"/>
      <c r="B12" s="74">
        <v>2</v>
      </c>
      <c r="C12" s="75" t="s">
        <v>121</v>
      </c>
      <c r="D12" s="110">
        <v>3</v>
      </c>
      <c r="E12" s="110"/>
      <c r="F12" s="110">
        <v>1</v>
      </c>
      <c r="G12" s="111">
        <v>2</v>
      </c>
      <c r="H12" s="110">
        <v>2</v>
      </c>
      <c r="I12" s="111"/>
      <c r="J12" s="61"/>
      <c r="K12" s="61"/>
      <c r="L12" s="67"/>
      <c r="M12" s="66"/>
      <c r="N12" s="66"/>
      <c r="O12" s="61"/>
      <c r="P12" s="61"/>
      <c r="Q12" s="61"/>
    </row>
    <row r="13" spans="1:17" ht="25.5" x14ac:dyDescent="0.2">
      <c r="A13" s="68"/>
      <c r="B13" s="69"/>
      <c r="C13" s="70" t="s">
        <v>118</v>
      </c>
      <c r="D13" s="108">
        <v>2</v>
      </c>
      <c r="E13" s="108">
        <v>4</v>
      </c>
      <c r="F13" s="108">
        <v>5</v>
      </c>
      <c r="G13" s="109">
        <v>10</v>
      </c>
      <c r="H13" s="108">
        <v>7</v>
      </c>
      <c r="I13" s="109">
        <v>8</v>
      </c>
      <c r="J13" s="61"/>
      <c r="K13" s="61"/>
      <c r="L13" s="67"/>
      <c r="M13" s="66"/>
      <c r="N13" s="66"/>
      <c r="O13" s="61"/>
      <c r="P13" s="61"/>
      <c r="Q13" s="61"/>
    </row>
    <row r="14" spans="1:17" x14ac:dyDescent="0.2">
      <c r="A14" s="73"/>
      <c r="B14" s="74"/>
      <c r="C14" s="75" t="s">
        <v>117</v>
      </c>
      <c r="D14" s="110">
        <v>6</v>
      </c>
      <c r="E14" s="110">
        <v>4</v>
      </c>
      <c r="F14" s="110">
        <v>5</v>
      </c>
      <c r="G14" s="111">
        <v>3</v>
      </c>
      <c r="H14" s="110">
        <v>12</v>
      </c>
      <c r="I14" s="111">
        <v>10</v>
      </c>
      <c r="J14" s="61"/>
      <c r="K14" s="61"/>
      <c r="L14" s="67"/>
      <c r="M14" s="66"/>
      <c r="N14" s="66"/>
      <c r="O14" s="61"/>
      <c r="P14" s="61"/>
      <c r="Q14" s="61"/>
    </row>
    <row r="15" spans="1:17" x14ac:dyDescent="0.2">
      <c r="A15" s="68"/>
      <c r="B15" s="69"/>
      <c r="C15" s="70" t="s">
        <v>122</v>
      </c>
      <c r="D15" s="108"/>
      <c r="E15" s="108">
        <v>3</v>
      </c>
      <c r="F15" s="108">
        <v>6</v>
      </c>
      <c r="G15" s="109">
        <v>7</v>
      </c>
      <c r="H15" s="108"/>
      <c r="I15" s="109"/>
      <c r="J15" s="61"/>
      <c r="K15" s="61"/>
      <c r="L15" s="67"/>
      <c r="M15" s="66"/>
      <c r="N15" s="66"/>
      <c r="O15" s="61"/>
      <c r="P15" s="61"/>
      <c r="Q15" s="61"/>
    </row>
    <row r="16" spans="1:17" x14ac:dyDescent="0.2">
      <c r="A16" s="73"/>
      <c r="B16" s="74"/>
      <c r="C16" s="75" t="s">
        <v>115</v>
      </c>
      <c r="D16" s="110"/>
      <c r="E16" s="110">
        <v>1</v>
      </c>
      <c r="F16" s="110">
        <v>1</v>
      </c>
      <c r="G16" s="111">
        <v>4</v>
      </c>
      <c r="H16" s="110">
        <v>7</v>
      </c>
      <c r="I16" s="111">
        <v>4</v>
      </c>
      <c r="J16" s="66"/>
      <c r="K16" s="66"/>
      <c r="L16" s="67"/>
      <c r="M16" s="66"/>
      <c r="N16" s="66"/>
      <c r="O16" s="61"/>
      <c r="P16" s="61"/>
      <c r="Q16" s="61"/>
    </row>
    <row r="17" spans="1:17" ht="25.5" x14ac:dyDescent="0.2">
      <c r="A17" s="68"/>
      <c r="B17" s="69"/>
      <c r="C17" s="70" t="s">
        <v>120</v>
      </c>
      <c r="D17" s="108"/>
      <c r="E17" s="108">
        <v>1</v>
      </c>
      <c r="F17" s="108">
        <v>2</v>
      </c>
      <c r="G17" s="109">
        <v>2</v>
      </c>
      <c r="H17" s="108"/>
      <c r="I17" s="109"/>
      <c r="J17" s="61"/>
      <c r="K17" s="61"/>
      <c r="L17" s="67"/>
      <c r="M17" s="66"/>
      <c r="N17" s="66"/>
      <c r="O17" s="61"/>
      <c r="P17" s="61"/>
      <c r="Q17" s="61"/>
    </row>
    <row r="18" spans="1:17" ht="25.5" x14ac:dyDescent="0.2">
      <c r="A18" s="73"/>
      <c r="B18" s="74">
        <v>2.5</v>
      </c>
      <c r="C18" s="75" t="s">
        <v>116</v>
      </c>
      <c r="D18" s="110">
        <v>1</v>
      </c>
      <c r="E18" s="110">
        <v>1</v>
      </c>
      <c r="F18" s="110">
        <v>7</v>
      </c>
      <c r="G18" s="111">
        <v>15</v>
      </c>
      <c r="H18" s="110">
        <v>13</v>
      </c>
      <c r="I18" s="111">
        <v>7</v>
      </c>
      <c r="J18" s="61"/>
      <c r="K18" s="61"/>
      <c r="L18" s="67"/>
      <c r="M18" s="66"/>
      <c r="N18" s="66"/>
      <c r="O18" s="61"/>
      <c r="P18" s="61"/>
      <c r="Q18" s="61"/>
    </row>
    <row r="19" spans="1:17" x14ac:dyDescent="0.2">
      <c r="A19" s="68"/>
      <c r="B19" s="69"/>
      <c r="C19" s="70" t="s">
        <v>117</v>
      </c>
      <c r="D19" s="108">
        <v>2</v>
      </c>
      <c r="E19" s="108">
        <v>10</v>
      </c>
      <c r="F19" s="108">
        <v>10</v>
      </c>
      <c r="G19" s="109">
        <v>8</v>
      </c>
      <c r="H19" s="108">
        <v>10</v>
      </c>
      <c r="I19" s="109">
        <v>11</v>
      </c>
      <c r="J19" s="61"/>
      <c r="K19" s="61"/>
      <c r="L19" s="67"/>
      <c r="M19" s="66"/>
      <c r="N19" s="66"/>
      <c r="O19" s="61"/>
      <c r="P19" s="61"/>
      <c r="Q19" s="61"/>
    </row>
    <row r="20" spans="1:17" ht="38.25" x14ac:dyDescent="0.2">
      <c r="A20" s="73" t="s">
        <v>107</v>
      </c>
      <c r="B20" s="74">
        <v>1</v>
      </c>
      <c r="C20" s="75" t="s">
        <v>113</v>
      </c>
      <c r="D20" s="110"/>
      <c r="E20" s="110"/>
      <c r="F20" s="110"/>
      <c r="G20" s="111"/>
      <c r="H20" s="111">
        <v>8</v>
      </c>
      <c r="I20" s="111">
        <v>7</v>
      </c>
      <c r="J20" s="61"/>
      <c r="K20" s="61"/>
      <c r="L20" s="67"/>
      <c r="M20" s="66"/>
      <c r="N20" s="66"/>
      <c r="O20" s="61"/>
      <c r="P20" s="61"/>
      <c r="Q20" s="61"/>
    </row>
    <row r="21" spans="1:17" ht="25.5" x14ac:dyDescent="0.2">
      <c r="A21" s="68" t="s">
        <v>107</v>
      </c>
      <c r="B21" s="69"/>
      <c r="C21" s="70" t="s">
        <v>121</v>
      </c>
      <c r="D21" s="108"/>
      <c r="E21" s="108"/>
      <c r="F21" s="108"/>
      <c r="G21" s="109"/>
      <c r="H21" s="108"/>
      <c r="I21" s="109"/>
      <c r="J21" s="61"/>
      <c r="K21" s="61"/>
      <c r="L21" s="67"/>
      <c r="M21" s="66"/>
      <c r="N21" s="66"/>
      <c r="O21" s="61"/>
      <c r="P21" s="61"/>
      <c r="Q21" s="61"/>
    </row>
    <row r="22" spans="1:17" ht="25.5" x14ac:dyDescent="0.2">
      <c r="A22" s="73"/>
      <c r="B22" s="74"/>
      <c r="C22" s="75" t="s">
        <v>119</v>
      </c>
      <c r="D22" s="110">
        <v>5</v>
      </c>
      <c r="E22" s="110">
        <v>10</v>
      </c>
      <c r="F22" s="110">
        <v>15</v>
      </c>
      <c r="G22" s="111">
        <v>10</v>
      </c>
      <c r="H22" s="110"/>
      <c r="I22" s="111"/>
      <c r="J22" s="61"/>
      <c r="K22" s="61"/>
      <c r="L22" s="67"/>
      <c r="M22" s="66"/>
      <c r="N22" s="66"/>
      <c r="O22" s="61"/>
      <c r="P22" s="61"/>
      <c r="Q22" s="61"/>
    </row>
    <row r="23" spans="1:17" x14ac:dyDescent="0.2">
      <c r="A23" s="68"/>
      <c r="B23" s="69"/>
      <c r="C23" s="70" t="s">
        <v>122</v>
      </c>
      <c r="D23" s="108">
        <v>6</v>
      </c>
      <c r="E23" s="108">
        <v>8</v>
      </c>
      <c r="F23" s="108">
        <v>4</v>
      </c>
      <c r="G23" s="109">
        <v>3</v>
      </c>
      <c r="H23" s="108"/>
      <c r="I23" s="109"/>
      <c r="J23" s="61"/>
      <c r="K23" s="61"/>
      <c r="L23" s="67"/>
      <c r="M23" s="66"/>
      <c r="N23" s="66"/>
      <c r="O23" s="61"/>
      <c r="P23" s="61"/>
      <c r="Q23" s="61"/>
    </row>
    <row r="24" spans="1:17" ht="25.5" x14ac:dyDescent="0.2">
      <c r="A24" s="68"/>
      <c r="B24" s="69">
        <v>2</v>
      </c>
      <c r="C24" s="70" t="s">
        <v>121</v>
      </c>
      <c r="D24" s="108">
        <v>9</v>
      </c>
      <c r="E24" s="108">
        <v>7</v>
      </c>
      <c r="F24" s="108">
        <v>13</v>
      </c>
      <c r="G24" s="109">
        <v>10</v>
      </c>
      <c r="H24" s="108"/>
      <c r="I24" s="109"/>
      <c r="J24" s="61"/>
      <c r="K24" s="61"/>
      <c r="L24" s="67"/>
      <c r="M24" s="66"/>
      <c r="N24" s="66"/>
      <c r="O24" s="61"/>
      <c r="P24" s="61"/>
      <c r="Q24" s="61"/>
    </row>
    <row r="25" spans="1:17" ht="25.5" x14ac:dyDescent="0.2">
      <c r="A25" s="73"/>
      <c r="B25" s="74"/>
      <c r="C25" s="75" t="s">
        <v>118</v>
      </c>
      <c r="D25" s="110">
        <v>4</v>
      </c>
      <c r="E25" s="110"/>
      <c r="F25" s="110">
        <v>1</v>
      </c>
      <c r="G25" s="111">
        <v>6</v>
      </c>
      <c r="H25" s="110"/>
      <c r="I25" s="111"/>
      <c r="J25" s="61"/>
      <c r="K25" s="61"/>
      <c r="L25" s="67"/>
      <c r="M25" s="66"/>
      <c r="N25" s="66"/>
      <c r="O25" s="61"/>
      <c r="P25" s="61"/>
      <c r="Q25" s="61"/>
    </row>
    <row r="26" spans="1:17" ht="38.25" x14ac:dyDescent="0.2">
      <c r="A26" s="68"/>
      <c r="B26" s="69"/>
      <c r="C26" s="70" t="s">
        <v>113</v>
      </c>
      <c r="D26" s="108">
        <v>3</v>
      </c>
      <c r="E26" s="108">
        <v>8</v>
      </c>
      <c r="F26" s="108">
        <v>4</v>
      </c>
      <c r="G26" s="109">
        <v>7</v>
      </c>
      <c r="H26" s="108">
        <v>20</v>
      </c>
      <c r="I26" s="109">
        <v>12</v>
      </c>
      <c r="J26" s="61"/>
      <c r="K26" s="61"/>
      <c r="L26" s="67"/>
      <c r="M26" s="66"/>
      <c r="N26" s="66"/>
      <c r="O26" s="61"/>
      <c r="P26" s="61"/>
      <c r="Q26" s="61"/>
    </row>
    <row r="27" spans="1:17" x14ac:dyDescent="0.2">
      <c r="A27" s="73"/>
      <c r="B27" s="74"/>
      <c r="C27" s="75" t="s">
        <v>122</v>
      </c>
      <c r="D27" s="110">
        <v>2</v>
      </c>
      <c r="E27" s="110">
        <v>1</v>
      </c>
      <c r="F27" s="110">
        <v>2</v>
      </c>
      <c r="G27" s="111"/>
      <c r="H27" s="110"/>
      <c r="I27" s="111"/>
      <c r="J27" s="61"/>
      <c r="K27" s="61"/>
      <c r="L27" s="67"/>
      <c r="M27" s="66"/>
      <c r="N27" s="66"/>
      <c r="O27" s="61"/>
      <c r="P27" s="61"/>
      <c r="Q27" s="61"/>
    </row>
    <row r="28" spans="1:17" ht="25.5" x14ac:dyDescent="0.2">
      <c r="A28" s="68"/>
      <c r="B28" s="69">
        <v>2.5</v>
      </c>
      <c r="C28" s="70" t="s">
        <v>121</v>
      </c>
      <c r="D28" s="108">
        <v>5</v>
      </c>
      <c r="E28" s="108">
        <v>3</v>
      </c>
      <c r="F28" s="108">
        <v>2</v>
      </c>
      <c r="G28" s="109">
        <v>3</v>
      </c>
      <c r="H28" s="108"/>
      <c r="I28" s="109"/>
      <c r="J28" s="66"/>
      <c r="K28" s="66"/>
      <c r="L28" s="67"/>
      <c r="M28" s="66"/>
      <c r="N28" s="66"/>
      <c r="O28" s="61"/>
      <c r="P28" s="61"/>
      <c r="Q28" s="61"/>
    </row>
    <row r="29" spans="1:17" ht="25.5" x14ac:dyDescent="0.2">
      <c r="A29" s="73"/>
      <c r="B29" s="74"/>
      <c r="C29" s="75" t="s">
        <v>116</v>
      </c>
      <c r="D29" s="110"/>
      <c r="E29" s="110">
        <v>1</v>
      </c>
      <c r="F29" s="110">
        <v>1</v>
      </c>
      <c r="G29" s="111"/>
      <c r="H29" s="110"/>
      <c r="I29" s="111"/>
      <c r="J29" s="61"/>
      <c r="K29" s="61"/>
      <c r="L29" s="67"/>
      <c r="M29" s="66"/>
      <c r="N29" s="66"/>
      <c r="O29" s="61"/>
      <c r="P29" s="61"/>
      <c r="Q29" s="61"/>
    </row>
    <row r="30" spans="1:17" ht="25.5" x14ac:dyDescent="0.2">
      <c r="A30" s="68"/>
      <c r="B30" s="69"/>
      <c r="C30" s="70" t="s">
        <v>114</v>
      </c>
      <c r="D30" s="108">
        <v>2</v>
      </c>
      <c r="E30" s="108"/>
      <c r="F30" s="108">
        <v>1</v>
      </c>
      <c r="G30" s="109">
        <v>2</v>
      </c>
      <c r="H30" s="108"/>
      <c r="I30" s="109"/>
      <c r="J30" s="61"/>
      <c r="K30" s="61"/>
      <c r="L30" s="67"/>
      <c r="M30" s="66"/>
      <c r="N30" s="66"/>
      <c r="O30" s="61"/>
      <c r="P30" s="61"/>
      <c r="Q30" s="61"/>
    </row>
    <row r="31" spans="1:17" ht="38.25" x14ac:dyDescent="0.2">
      <c r="A31" s="73"/>
      <c r="B31" s="74"/>
      <c r="C31" s="75" t="s">
        <v>113</v>
      </c>
      <c r="D31" s="110">
        <v>6</v>
      </c>
      <c r="E31" s="110">
        <v>9</v>
      </c>
      <c r="F31" s="110">
        <v>9</v>
      </c>
      <c r="G31" s="111">
        <v>15</v>
      </c>
      <c r="H31" s="110">
        <v>19</v>
      </c>
      <c r="I31" s="111">
        <v>18</v>
      </c>
      <c r="J31" s="61"/>
      <c r="K31" s="61"/>
      <c r="L31" s="67"/>
      <c r="M31" s="66"/>
      <c r="N31" s="66"/>
      <c r="O31" s="61"/>
      <c r="P31" s="61"/>
      <c r="Q31" s="61"/>
    </row>
    <row r="32" spans="1:17" ht="25.5" x14ac:dyDescent="0.2">
      <c r="A32" s="68"/>
      <c r="B32" s="69"/>
      <c r="C32" s="70" t="s">
        <v>119</v>
      </c>
      <c r="D32" s="108">
        <v>2</v>
      </c>
      <c r="E32" s="108">
        <v>4</v>
      </c>
      <c r="F32" s="108">
        <v>2</v>
      </c>
      <c r="G32" s="109">
        <v>4</v>
      </c>
      <c r="H32" s="108"/>
      <c r="I32" s="109"/>
      <c r="J32" s="61"/>
      <c r="K32" s="61"/>
      <c r="L32" s="67"/>
      <c r="M32" s="66"/>
      <c r="N32" s="66"/>
      <c r="O32" s="61"/>
      <c r="P32" s="61"/>
      <c r="Q32" s="61"/>
    </row>
    <row r="33" spans="1:17" ht="25.5" x14ac:dyDescent="0.2">
      <c r="A33" s="73" t="s">
        <v>102</v>
      </c>
      <c r="B33" s="74">
        <v>1</v>
      </c>
      <c r="C33" s="75" t="s">
        <v>121</v>
      </c>
      <c r="D33" s="110">
        <v>7</v>
      </c>
      <c r="E33" s="110">
        <v>3</v>
      </c>
      <c r="F33" s="110">
        <v>3</v>
      </c>
      <c r="G33" s="111">
        <v>7</v>
      </c>
      <c r="H33" s="110">
        <v>4</v>
      </c>
      <c r="I33" s="111">
        <v>6</v>
      </c>
      <c r="J33" s="61"/>
      <c r="K33" s="61"/>
      <c r="L33" s="67"/>
      <c r="M33" s="66"/>
      <c r="N33" s="66"/>
      <c r="O33" s="61"/>
      <c r="P33" s="61"/>
      <c r="Q33" s="61"/>
    </row>
    <row r="34" spans="1:17" ht="25.5" x14ac:dyDescent="0.2">
      <c r="A34" s="68"/>
      <c r="B34" s="69"/>
      <c r="C34" s="70" t="s">
        <v>116</v>
      </c>
      <c r="D34" s="108"/>
      <c r="E34" s="108"/>
      <c r="F34" s="108"/>
      <c r="G34" s="109">
        <v>1</v>
      </c>
      <c r="H34" s="108"/>
      <c r="I34" s="109"/>
      <c r="J34" s="61"/>
      <c r="K34" s="61"/>
      <c r="L34" s="67"/>
      <c r="M34" s="66"/>
      <c r="N34" s="66"/>
      <c r="O34" s="61"/>
      <c r="P34" s="61"/>
      <c r="Q34" s="61"/>
    </row>
    <row r="35" spans="1:17" x14ac:dyDescent="0.2">
      <c r="A35" s="73"/>
      <c r="B35" s="74"/>
      <c r="C35" s="75" t="s">
        <v>60</v>
      </c>
      <c r="D35" s="110">
        <v>13</v>
      </c>
      <c r="E35" s="110">
        <v>8</v>
      </c>
      <c r="F35" s="110">
        <v>6</v>
      </c>
      <c r="G35" s="111">
        <v>11</v>
      </c>
      <c r="H35" s="110">
        <v>16</v>
      </c>
      <c r="I35" s="111">
        <v>12</v>
      </c>
      <c r="J35" s="61"/>
      <c r="K35" s="61"/>
      <c r="L35" s="67"/>
      <c r="M35" s="66"/>
      <c r="N35" s="66"/>
      <c r="O35" s="61"/>
      <c r="P35" s="61"/>
      <c r="Q35" s="61"/>
    </row>
    <row r="36" spans="1:17" x14ac:dyDescent="0.2">
      <c r="A36" s="68"/>
      <c r="B36" s="69"/>
      <c r="C36" s="70" t="s">
        <v>117</v>
      </c>
      <c r="D36" s="108"/>
      <c r="E36" s="108"/>
      <c r="F36" s="108"/>
      <c r="G36" s="109"/>
      <c r="H36" s="108"/>
      <c r="I36" s="109"/>
      <c r="J36" s="66"/>
      <c r="K36" s="66"/>
      <c r="L36" s="67"/>
      <c r="M36" s="66"/>
      <c r="N36" s="66"/>
      <c r="O36" s="61"/>
      <c r="P36" s="61"/>
      <c r="Q36" s="61"/>
    </row>
    <row r="37" spans="1:17" ht="25.5" x14ac:dyDescent="0.2">
      <c r="A37" s="73"/>
      <c r="B37" s="74"/>
      <c r="C37" s="75" t="s">
        <v>119</v>
      </c>
      <c r="D37" s="110">
        <v>20</v>
      </c>
      <c r="E37" s="110">
        <v>15</v>
      </c>
      <c r="F37" s="110">
        <v>19</v>
      </c>
      <c r="G37" s="111">
        <v>19</v>
      </c>
      <c r="H37" s="110">
        <v>8</v>
      </c>
      <c r="I37" s="111">
        <v>21</v>
      </c>
      <c r="J37" s="61"/>
      <c r="K37" s="61"/>
      <c r="L37" s="67"/>
      <c r="M37" s="66"/>
      <c r="N37" s="66"/>
      <c r="O37" s="61"/>
      <c r="P37" s="61"/>
      <c r="Q37" s="61"/>
    </row>
    <row r="38" spans="1:17" x14ac:dyDescent="0.2">
      <c r="A38" s="68"/>
      <c r="B38" s="69"/>
      <c r="C38" s="70" t="s">
        <v>122</v>
      </c>
      <c r="D38" s="108">
        <v>14</v>
      </c>
      <c r="E38" s="108">
        <v>18</v>
      </c>
      <c r="F38" s="108">
        <v>21</v>
      </c>
      <c r="G38" s="109">
        <v>13</v>
      </c>
      <c r="H38" s="108">
        <v>17</v>
      </c>
      <c r="I38" s="109">
        <v>18</v>
      </c>
      <c r="J38" s="61"/>
      <c r="K38" s="61"/>
      <c r="L38" s="67"/>
      <c r="M38" s="66"/>
      <c r="N38" s="66"/>
      <c r="O38" s="61"/>
      <c r="P38" s="61"/>
      <c r="Q38" s="61"/>
    </row>
    <row r="39" spans="1:17" x14ac:dyDescent="0.2">
      <c r="A39" s="73"/>
      <c r="B39" s="74"/>
      <c r="C39" s="75" t="s">
        <v>115</v>
      </c>
      <c r="D39" s="110"/>
      <c r="E39" s="110"/>
      <c r="F39" s="110"/>
      <c r="G39" s="111"/>
      <c r="H39" s="110"/>
      <c r="I39" s="111">
        <v>1</v>
      </c>
      <c r="J39" s="61"/>
      <c r="K39" s="61"/>
      <c r="L39" s="67"/>
      <c r="M39" s="66"/>
      <c r="N39" s="66"/>
      <c r="O39" s="61"/>
      <c r="P39" s="61"/>
      <c r="Q39" s="61"/>
    </row>
    <row r="40" spans="1:17" ht="25.5" x14ac:dyDescent="0.2">
      <c r="A40" s="68"/>
      <c r="B40" s="69">
        <v>2</v>
      </c>
      <c r="C40" s="70" t="s">
        <v>121</v>
      </c>
      <c r="D40" s="108">
        <v>27</v>
      </c>
      <c r="E40" s="108">
        <v>22</v>
      </c>
      <c r="F40" s="108">
        <v>24</v>
      </c>
      <c r="G40" s="109">
        <v>32</v>
      </c>
      <c r="H40" s="108">
        <v>35</v>
      </c>
      <c r="I40" s="109">
        <v>29</v>
      </c>
      <c r="J40" s="61"/>
      <c r="K40" s="61"/>
      <c r="L40" s="67"/>
      <c r="M40" s="66"/>
      <c r="N40" s="66"/>
      <c r="O40" s="61"/>
      <c r="P40" s="61"/>
      <c r="Q40" s="61"/>
    </row>
    <row r="41" spans="1:17" ht="25.5" x14ac:dyDescent="0.2">
      <c r="A41" s="73"/>
      <c r="B41" s="74"/>
      <c r="C41" s="75" t="s">
        <v>118</v>
      </c>
      <c r="D41" s="110">
        <v>8</v>
      </c>
      <c r="E41" s="110">
        <v>7</v>
      </c>
      <c r="F41" s="110">
        <v>9</v>
      </c>
      <c r="G41" s="111">
        <v>11</v>
      </c>
      <c r="H41" s="110">
        <v>6</v>
      </c>
      <c r="I41" s="111">
        <v>1</v>
      </c>
      <c r="J41" s="61"/>
      <c r="K41" s="61"/>
      <c r="L41" s="67"/>
      <c r="M41" s="66"/>
      <c r="N41" s="66"/>
      <c r="O41" s="61"/>
      <c r="P41" s="61"/>
      <c r="Q41" s="61"/>
    </row>
    <row r="42" spans="1:17" x14ac:dyDescent="0.2">
      <c r="A42" s="68"/>
      <c r="B42" s="69"/>
      <c r="C42" s="70" t="s">
        <v>117</v>
      </c>
      <c r="D42" s="108">
        <v>11</v>
      </c>
      <c r="E42" s="108">
        <v>15</v>
      </c>
      <c r="F42" s="108">
        <v>10</v>
      </c>
      <c r="G42" s="109">
        <v>13</v>
      </c>
      <c r="H42" s="108">
        <v>16</v>
      </c>
      <c r="I42" s="109">
        <v>12</v>
      </c>
      <c r="J42" s="61"/>
      <c r="K42" s="61"/>
      <c r="L42" s="67"/>
      <c r="M42" s="66"/>
      <c r="N42" s="66"/>
      <c r="O42" s="61"/>
      <c r="P42" s="61"/>
      <c r="Q42" s="61"/>
    </row>
    <row r="43" spans="1:17" x14ac:dyDescent="0.2">
      <c r="A43" s="73"/>
      <c r="B43" s="74"/>
      <c r="C43" s="75" t="s">
        <v>122</v>
      </c>
      <c r="D43" s="110">
        <v>20</v>
      </c>
      <c r="E43" s="110">
        <v>13</v>
      </c>
      <c r="F43" s="110">
        <v>25</v>
      </c>
      <c r="G43" s="111">
        <v>19</v>
      </c>
      <c r="H43" s="110">
        <v>32</v>
      </c>
      <c r="I43" s="111">
        <v>23</v>
      </c>
      <c r="J43" s="61"/>
      <c r="K43" s="61"/>
      <c r="L43" s="67"/>
      <c r="M43" s="66"/>
      <c r="N43" s="66"/>
      <c r="O43" s="61"/>
      <c r="P43" s="61"/>
      <c r="Q43" s="61"/>
    </row>
    <row r="44" spans="1:17" x14ac:dyDescent="0.2">
      <c r="A44" s="68"/>
      <c r="B44" s="69"/>
      <c r="C44" s="70" t="s">
        <v>115</v>
      </c>
      <c r="D44" s="108"/>
      <c r="E44" s="108">
        <v>1</v>
      </c>
      <c r="F44" s="108">
        <v>3</v>
      </c>
      <c r="G44" s="109">
        <v>1</v>
      </c>
      <c r="H44" s="108">
        <v>2</v>
      </c>
      <c r="I44" s="109">
        <v>2</v>
      </c>
      <c r="J44" s="66"/>
      <c r="K44" s="66"/>
      <c r="L44" s="67"/>
      <c r="M44" s="66"/>
      <c r="N44" s="66"/>
      <c r="O44" s="61"/>
      <c r="P44" s="61"/>
      <c r="Q44" s="61"/>
    </row>
    <row r="45" spans="1:17" ht="25.5" x14ac:dyDescent="0.2">
      <c r="A45" s="73"/>
      <c r="B45" s="74">
        <v>2.5</v>
      </c>
      <c r="C45" s="75" t="s">
        <v>121</v>
      </c>
      <c r="D45" s="110">
        <v>1</v>
      </c>
      <c r="E45" s="110">
        <v>2</v>
      </c>
      <c r="F45" s="110">
        <v>4</v>
      </c>
      <c r="G45" s="111">
        <v>8</v>
      </c>
      <c r="H45" s="110">
        <v>2</v>
      </c>
      <c r="I45" s="111">
        <v>1</v>
      </c>
      <c r="J45" s="66"/>
      <c r="K45" s="66"/>
      <c r="L45" s="67"/>
      <c r="M45" s="66"/>
      <c r="N45" s="66"/>
      <c r="O45" s="61"/>
      <c r="P45" s="61"/>
      <c r="Q45" s="61"/>
    </row>
    <row r="46" spans="1:17" ht="25.5" x14ac:dyDescent="0.2">
      <c r="A46" s="68"/>
      <c r="B46" s="69"/>
      <c r="C46" s="70" t="s">
        <v>116</v>
      </c>
      <c r="D46" s="108">
        <v>11</v>
      </c>
      <c r="E46" s="108">
        <v>10</v>
      </c>
      <c r="F46" s="108">
        <v>21</v>
      </c>
      <c r="G46" s="109">
        <v>24</v>
      </c>
      <c r="H46" s="108">
        <v>29</v>
      </c>
      <c r="I46" s="109">
        <v>28</v>
      </c>
      <c r="J46" s="61"/>
      <c r="K46" s="61"/>
      <c r="L46" s="67"/>
      <c r="M46" s="66"/>
      <c r="N46" s="66"/>
      <c r="O46" s="61"/>
      <c r="P46" s="61"/>
      <c r="Q46" s="61"/>
    </row>
    <row r="47" spans="1:17" ht="25.5" x14ac:dyDescent="0.2">
      <c r="A47" s="73"/>
      <c r="B47" s="74"/>
      <c r="C47" s="75" t="s">
        <v>114</v>
      </c>
      <c r="D47" s="110"/>
      <c r="E47" s="110">
        <v>1</v>
      </c>
      <c r="F47" s="110">
        <v>4</v>
      </c>
      <c r="G47" s="111"/>
      <c r="H47" s="110">
        <v>2</v>
      </c>
      <c r="I47" s="111">
        <v>3</v>
      </c>
      <c r="J47" s="61"/>
      <c r="K47" s="61"/>
      <c r="L47" s="67"/>
      <c r="M47" s="66"/>
      <c r="N47" s="66"/>
      <c r="O47" s="61"/>
      <c r="P47" s="61"/>
      <c r="Q47" s="61"/>
    </row>
    <row r="48" spans="1:17" ht="38.25" x14ac:dyDescent="0.2">
      <c r="A48" s="68"/>
      <c r="B48" s="69"/>
      <c r="C48" s="70" t="s">
        <v>113</v>
      </c>
      <c r="D48" s="108">
        <v>6</v>
      </c>
      <c r="E48" s="108">
        <v>10</v>
      </c>
      <c r="F48" s="108">
        <v>8</v>
      </c>
      <c r="G48" s="109">
        <v>16</v>
      </c>
      <c r="H48" s="108">
        <v>13</v>
      </c>
      <c r="I48" s="109">
        <v>11</v>
      </c>
      <c r="J48" s="61"/>
      <c r="K48" s="61"/>
      <c r="L48" s="67"/>
      <c r="M48" s="66"/>
      <c r="N48" s="66"/>
      <c r="O48" s="61"/>
      <c r="P48" s="61"/>
      <c r="Q48" s="61"/>
    </row>
    <row r="49" spans="1:17" x14ac:dyDescent="0.2">
      <c r="A49" s="73"/>
      <c r="B49" s="74"/>
      <c r="C49" s="75" t="s">
        <v>117</v>
      </c>
      <c r="D49" s="110">
        <v>9</v>
      </c>
      <c r="E49" s="110">
        <v>3</v>
      </c>
      <c r="F49" s="110">
        <v>10</v>
      </c>
      <c r="G49" s="111">
        <v>13</v>
      </c>
      <c r="H49" s="110">
        <v>10</v>
      </c>
      <c r="I49" s="111">
        <v>6</v>
      </c>
      <c r="J49" s="61"/>
      <c r="K49" s="61"/>
      <c r="L49" s="67"/>
      <c r="M49" s="66"/>
      <c r="N49" s="66"/>
      <c r="O49" s="61"/>
      <c r="P49" s="61"/>
      <c r="Q49" s="61"/>
    </row>
    <row r="50" spans="1:17" ht="25.5" x14ac:dyDescent="0.2">
      <c r="A50" s="68"/>
      <c r="B50" s="69"/>
      <c r="C50" s="70" t="s">
        <v>119</v>
      </c>
      <c r="D50" s="108"/>
      <c r="E50" s="108"/>
      <c r="F50" s="108">
        <v>1</v>
      </c>
      <c r="G50" s="109">
        <v>1</v>
      </c>
      <c r="H50" s="108"/>
      <c r="I50" s="109"/>
      <c r="J50" s="61"/>
      <c r="K50" s="61"/>
      <c r="L50" s="67"/>
      <c r="M50" s="66"/>
      <c r="N50" s="66"/>
      <c r="O50" s="61"/>
      <c r="P50" s="61"/>
      <c r="Q50" s="61"/>
    </row>
    <row r="51" spans="1:17" ht="25.5" x14ac:dyDescent="0.2">
      <c r="A51" s="73" t="s">
        <v>143</v>
      </c>
      <c r="B51" s="74">
        <v>1</v>
      </c>
      <c r="C51" s="75" t="s">
        <v>60</v>
      </c>
      <c r="D51" s="110"/>
      <c r="E51" s="110">
        <v>1</v>
      </c>
      <c r="F51" s="110">
        <v>1</v>
      </c>
      <c r="G51" s="111"/>
      <c r="H51" s="110"/>
      <c r="I51" s="111">
        <v>2</v>
      </c>
      <c r="J51" s="61"/>
      <c r="K51" s="61"/>
      <c r="L51" s="67"/>
      <c r="M51" s="66"/>
      <c r="N51" s="66"/>
      <c r="O51" s="61"/>
      <c r="P51" s="61"/>
      <c r="Q51" s="61"/>
    </row>
    <row r="52" spans="1:17" x14ac:dyDescent="0.2">
      <c r="A52" s="68"/>
      <c r="B52" s="69"/>
      <c r="C52" s="70" t="s">
        <v>122</v>
      </c>
      <c r="D52" s="108"/>
      <c r="E52" s="108">
        <v>1</v>
      </c>
      <c r="F52" s="108">
        <v>2</v>
      </c>
      <c r="G52" s="109">
        <v>4</v>
      </c>
      <c r="H52" s="108"/>
      <c r="I52" s="109">
        <v>2</v>
      </c>
      <c r="J52" s="61"/>
      <c r="K52" s="61"/>
      <c r="L52" s="67"/>
      <c r="M52" s="66"/>
      <c r="N52" s="66"/>
      <c r="O52" s="61"/>
      <c r="P52" s="61"/>
      <c r="Q52" s="61"/>
    </row>
    <row r="53" spans="1:17" ht="38.25" x14ac:dyDescent="0.2">
      <c r="A53" s="73"/>
      <c r="B53" s="74">
        <v>2</v>
      </c>
      <c r="C53" s="75" t="s">
        <v>113</v>
      </c>
      <c r="D53" s="110"/>
      <c r="E53" s="110"/>
      <c r="F53" s="110"/>
      <c r="G53" s="111">
        <v>1</v>
      </c>
      <c r="H53" s="110">
        <v>1</v>
      </c>
      <c r="I53" s="111"/>
      <c r="J53" s="61"/>
      <c r="K53" s="61"/>
      <c r="L53" s="67"/>
      <c r="M53" s="66"/>
      <c r="N53" s="66"/>
      <c r="O53" s="61"/>
      <c r="P53" s="61"/>
      <c r="Q53" s="61"/>
    </row>
    <row r="54" spans="1:17" ht="25.5" x14ac:dyDescent="0.25">
      <c r="A54" s="68" t="s">
        <v>36</v>
      </c>
      <c r="B54" s="69">
        <v>1</v>
      </c>
      <c r="C54" s="70" t="s">
        <v>121</v>
      </c>
      <c r="D54" s="108">
        <v>6</v>
      </c>
      <c r="E54" s="108">
        <v>13</v>
      </c>
      <c r="F54" s="108">
        <v>12</v>
      </c>
      <c r="G54" s="109">
        <v>9</v>
      </c>
      <c r="H54" s="108">
        <v>12</v>
      </c>
      <c r="I54" s="109">
        <v>16</v>
      </c>
      <c r="J54" s="107"/>
      <c r="K54" s="66"/>
      <c r="L54" s="67"/>
      <c r="M54" s="66"/>
      <c r="N54" s="66"/>
      <c r="O54" s="61"/>
      <c r="P54" s="61"/>
      <c r="Q54" s="61"/>
    </row>
    <row r="55" spans="1:17" x14ac:dyDescent="0.2">
      <c r="A55" s="73"/>
      <c r="B55" s="74"/>
      <c r="C55" s="75" t="s">
        <v>60</v>
      </c>
      <c r="D55" s="110">
        <v>18</v>
      </c>
      <c r="E55" s="110">
        <v>19</v>
      </c>
      <c r="F55" s="110">
        <v>22</v>
      </c>
      <c r="G55" s="111">
        <v>15</v>
      </c>
      <c r="H55" s="110">
        <v>32</v>
      </c>
      <c r="I55" s="111">
        <v>23</v>
      </c>
      <c r="K55" s="61"/>
      <c r="L55" s="67"/>
      <c r="M55" s="66"/>
      <c r="N55" s="66"/>
      <c r="O55" s="61"/>
      <c r="P55" s="61"/>
      <c r="Q55" s="61"/>
    </row>
    <row r="56" spans="1:17" ht="25.5" x14ac:dyDescent="0.25">
      <c r="A56" s="68"/>
      <c r="B56" s="69"/>
      <c r="C56" s="70" t="s">
        <v>119</v>
      </c>
      <c r="D56" s="108">
        <v>5</v>
      </c>
      <c r="E56" s="108">
        <v>14</v>
      </c>
      <c r="F56" s="108">
        <v>17</v>
      </c>
      <c r="G56" s="109">
        <v>11</v>
      </c>
      <c r="H56" s="108">
        <v>15</v>
      </c>
      <c r="I56" s="109">
        <v>7</v>
      </c>
      <c r="J56" s="107"/>
      <c r="K56" s="61"/>
      <c r="L56" s="67"/>
      <c r="M56" s="66"/>
      <c r="N56" s="66"/>
      <c r="O56" s="61"/>
      <c r="P56" s="61"/>
      <c r="Q56" s="61"/>
    </row>
    <row r="57" spans="1:17" ht="15.75" x14ac:dyDescent="0.25">
      <c r="A57" s="73"/>
      <c r="B57" s="74"/>
      <c r="C57" s="75" t="s">
        <v>122</v>
      </c>
      <c r="D57" s="110">
        <v>43</v>
      </c>
      <c r="E57" s="110">
        <v>42</v>
      </c>
      <c r="F57" s="110">
        <v>44</v>
      </c>
      <c r="G57" s="111">
        <v>47</v>
      </c>
      <c r="H57" s="110">
        <v>45</v>
      </c>
      <c r="I57" s="111">
        <v>31</v>
      </c>
      <c r="J57" s="107"/>
      <c r="K57" s="61"/>
      <c r="L57" s="67"/>
      <c r="M57" s="66"/>
      <c r="N57" s="66"/>
      <c r="O57" s="61"/>
      <c r="P57" s="61"/>
      <c r="Q57" s="61"/>
    </row>
    <row r="58" spans="1:17" ht="15.75" x14ac:dyDescent="0.25">
      <c r="A58" s="68"/>
      <c r="B58" s="69"/>
      <c r="C58" s="70" t="s">
        <v>115</v>
      </c>
      <c r="D58" s="108">
        <v>3</v>
      </c>
      <c r="E58" s="108">
        <v>3</v>
      </c>
      <c r="F58" s="108">
        <v>7</v>
      </c>
      <c r="G58" s="109">
        <v>4</v>
      </c>
      <c r="H58" s="108">
        <v>4</v>
      </c>
      <c r="I58" s="109">
        <v>4</v>
      </c>
      <c r="J58" s="107"/>
      <c r="K58" s="61"/>
      <c r="L58" s="67"/>
      <c r="M58" s="66"/>
      <c r="N58" s="66"/>
      <c r="O58" s="61"/>
      <c r="P58" s="61"/>
      <c r="Q58" s="61"/>
    </row>
    <row r="59" spans="1:17" ht="25.5" x14ac:dyDescent="0.25">
      <c r="A59" s="73"/>
      <c r="B59" s="74">
        <v>2</v>
      </c>
      <c r="C59" s="75" t="s">
        <v>121</v>
      </c>
      <c r="D59" s="110">
        <v>70</v>
      </c>
      <c r="E59" s="110">
        <v>51</v>
      </c>
      <c r="F59" s="110">
        <v>60</v>
      </c>
      <c r="G59" s="111">
        <v>90</v>
      </c>
      <c r="H59" s="110">
        <v>72</v>
      </c>
      <c r="I59" s="111">
        <v>73</v>
      </c>
      <c r="J59" s="107"/>
      <c r="K59" s="61"/>
      <c r="L59" s="67"/>
      <c r="M59" s="66"/>
      <c r="N59" s="66"/>
      <c r="O59" s="61"/>
      <c r="P59" s="61"/>
      <c r="Q59" s="61"/>
    </row>
    <row r="60" spans="1:17" ht="25.5" x14ac:dyDescent="0.25">
      <c r="A60" s="68"/>
      <c r="B60" s="69"/>
      <c r="C60" s="70" t="s">
        <v>118</v>
      </c>
      <c r="D60" s="108">
        <v>12</v>
      </c>
      <c r="E60" s="108">
        <v>16</v>
      </c>
      <c r="F60" s="108">
        <v>13</v>
      </c>
      <c r="G60" s="109">
        <v>8</v>
      </c>
      <c r="H60" s="108">
        <v>19</v>
      </c>
      <c r="I60" s="109">
        <v>21</v>
      </c>
      <c r="J60" s="107"/>
      <c r="K60" s="61"/>
      <c r="L60" s="67"/>
      <c r="M60" s="66"/>
      <c r="N60" s="66"/>
      <c r="O60" s="61"/>
      <c r="P60" s="61"/>
      <c r="Q60" s="61"/>
    </row>
    <row r="61" spans="1:17" ht="15.75" x14ac:dyDescent="0.25">
      <c r="A61" s="73"/>
      <c r="B61" s="74"/>
      <c r="C61" s="75" t="s">
        <v>117</v>
      </c>
      <c r="D61" s="110">
        <v>4</v>
      </c>
      <c r="E61" s="110">
        <v>3</v>
      </c>
      <c r="F61" s="110">
        <v>5</v>
      </c>
      <c r="G61" s="111">
        <v>2</v>
      </c>
      <c r="H61" s="110">
        <v>2</v>
      </c>
      <c r="I61" s="111">
        <v>3</v>
      </c>
      <c r="J61" s="107"/>
      <c r="K61" s="61"/>
      <c r="L61" s="67"/>
      <c r="M61" s="66"/>
      <c r="N61" s="66"/>
      <c r="O61" s="61"/>
      <c r="P61" s="61"/>
      <c r="Q61" s="61"/>
    </row>
    <row r="62" spans="1:17" ht="15.75" x14ac:dyDescent="0.25">
      <c r="A62" s="68"/>
      <c r="B62" s="69"/>
      <c r="C62" s="70" t="s">
        <v>122</v>
      </c>
      <c r="D62" s="108">
        <v>17</v>
      </c>
      <c r="E62" s="108">
        <v>18</v>
      </c>
      <c r="F62" s="108">
        <v>20</v>
      </c>
      <c r="G62" s="109">
        <v>20</v>
      </c>
      <c r="H62" s="108">
        <v>26</v>
      </c>
      <c r="I62" s="109">
        <v>24</v>
      </c>
      <c r="J62" s="107"/>
      <c r="K62" s="61"/>
      <c r="L62" s="67"/>
      <c r="M62" s="66"/>
      <c r="N62" s="66"/>
      <c r="O62" s="61"/>
      <c r="P62" s="61"/>
      <c r="Q62" s="61"/>
    </row>
    <row r="63" spans="1:17" x14ac:dyDescent="0.2">
      <c r="A63" s="73"/>
      <c r="B63" s="74"/>
      <c r="C63" s="75" t="s">
        <v>115</v>
      </c>
      <c r="D63" s="110">
        <v>2</v>
      </c>
      <c r="E63" s="110">
        <v>5</v>
      </c>
      <c r="F63" s="110">
        <v>10</v>
      </c>
      <c r="G63" s="111">
        <v>5</v>
      </c>
      <c r="H63" s="110">
        <v>4</v>
      </c>
      <c r="I63" s="111">
        <v>7</v>
      </c>
      <c r="J63" s="66"/>
      <c r="K63" s="66"/>
      <c r="L63" s="67"/>
      <c r="M63" s="66"/>
      <c r="N63" s="66"/>
      <c r="O63" s="61"/>
      <c r="P63" s="61"/>
      <c r="Q63" s="61"/>
    </row>
    <row r="64" spans="1:17" ht="25.5" x14ac:dyDescent="0.2">
      <c r="A64" s="68"/>
      <c r="B64" s="69">
        <v>2.5</v>
      </c>
      <c r="C64" s="70" t="s">
        <v>121</v>
      </c>
      <c r="D64" s="108">
        <v>5</v>
      </c>
      <c r="E64" s="108">
        <v>3</v>
      </c>
      <c r="F64" s="108">
        <v>4</v>
      </c>
      <c r="G64" s="109">
        <v>4</v>
      </c>
      <c r="H64" s="108"/>
      <c r="I64" s="109">
        <v>5</v>
      </c>
      <c r="J64" s="61"/>
      <c r="K64" s="61"/>
      <c r="L64" s="67"/>
      <c r="M64" s="66"/>
      <c r="N64" s="66"/>
      <c r="O64" s="61"/>
      <c r="P64" s="61"/>
      <c r="Q64" s="61"/>
    </row>
    <row r="65" spans="1:17" ht="25.5" x14ac:dyDescent="0.2">
      <c r="A65" s="73"/>
      <c r="B65" s="74"/>
      <c r="C65" s="75" t="s">
        <v>116</v>
      </c>
      <c r="D65" s="110">
        <v>48</v>
      </c>
      <c r="E65" s="110">
        <v>61</v>
      </c>
      <c r="F65" s="110">
        <v>58</v>
      </c>
      <c r="G65" s="111">
        <v>78</v>
      </c>
      <c r="H65" s="110">
        <v>77</v>
      </c>
      <c r="I65" s="111">
        <v>94</v>
      </c>
      <c r="J65" s="61"/>
      <c r="K65" s="61"/>
      <c r="L65" s="67"/>
      <c r="M65" s="66"/>
      <c r="N65" s="66"/>
      <c r="O65" s="61"/>
      <c r="P65" s="61"/>
      <c r="Q65" s="61"/>
    </row>
    <row r="66" spans="1:17" ht="25.5" x14ac:dyDescent="0.2">
      <c r="A66" s="68"/>
      <c r="B66" s="69"/>
      <c r="C66" s="70" t="s">
        <v>114</v>
      </c>
      <c r="D66" s="108">
        <v>5</v>
      </c>
      <c r="E66" s="108">
        <v>3</v>
      </c>
      <c r="F66" s="108">
        <v>7</v>
      </c>
      <c r="G66" s="109">
        <v>2</v>
      </c>
      <c r="H66" s="108">
        <v>9</v>
      </c>
      <c r="I66" s="109">
        <v>5</v>
      </c>
      <c r="J66" s="61"/>
      <c r="K66" s="61"/>
      <c r="L66" s="67"/>
      <c r="M66" s="66"/>
      <c r="N66" s="66"/>
      <c r="O66" s="61"/>
      <c r="P66" s="61"/>
      <c r="Q66" s="61"/>
    </row>
    <row r="67" spans="1:17" x14ac:dyDescent="0.2">
      <c r="A67" s="73"/>
      <c r="B67" s="74"/>
      <c r="C67" s="75" t="s">
        <v>117</v>
      </c>
      <c r="D67" s="110">
        <v>54</v>
      </c>
      <c r="E67" s="110">
        <v>70</v>
      </c>
      <c r="F67" s="110">
        <v>44</v>
      </c>
      <c r="G67" s="111">
        <v>60</v>
      </c>
      <c r="H67" s="110">
        <v>64</v>
      </c>
      <c r="I67" s="111">
        <v>65</v>
      </c>
      <c r="J67" s="61"/>
      <c r="K67" s="61"/>
      <c r="L67" s="67"/>
      <c r="M67" s="66"/>
      <c r="N67" s="66"/>
      <c r="O67" s="61"/>
      <c r="P67" s="61"/>
      <c r="Q67" s="61"/>
    </row>
    <row r="68" spans="1:17" ht="25.5" x14ac:dyDescent="0.2">
      <c r="A68" s="68"/>
      <c r="B68" s="69"/>
      <c r="C68" s="70" t="s">
        <v>119</v>
      </c>
      <c r="D68" s="108"/>
      <c r="E68" s="108"/>
      <c r="F68" s="108">
        <v>1</v>
      </c>
      <c r="G68" s="109"/>
      <c r="H68" s="108"/>
      <c r="I68" s="109">
        <v>1</v>
      </c>
      <c r="J68" s="61"/>
      <c r="K68" s="61"/>
      <c r="L68" s="67"/>
      <c r="M68" s="66"/>
      <c r="N68" s="66"/>
      <c r="O68" s="61"/>
      <c r="P68" s="61"/>
      <c r="Q68" s="61"/>
    </row>
    <row r="69" spans="1:17" ht="25.5" x14ac:dyDescent="0.2">
      <c r="A69" s="73" t="s">
        <v>108</v>
      </c>
      <c r="B69" s="74">
        <v>2.5</v>
      </c>
      <c r="C69" s="75" t="s">
        <v>118</v>
      </c>
      <c r="D69" s="110"/>
      <c r="E69" s="110"/>
      <c r="F69" s="110"/>
      <c r="G69" s="111"/>
      <c r="H69" s="110">
        <v>1</v>
      </c>
      <c r="I69" s="111">
        <v>1</v>
      </c>
      <c r="J69" s="61"/>
      <c r="K69" s="61"/>
      <c r="L69" s="67"/>
      <c r="M69" s="66"/>
      <c r="N69" s="66"/>
      <c r="O69" s="61"/>
      <c r="P69" s="61"/>
      <c r="Q69" s="61"/>
    </row>
    <row r="70" spans="1:17" ht="25.5" x14ac:dyDescent="0.2">
      <c r="A70" s="68" t="s">
        <v>103</v>
      </c>
      <c r="B70" s="69">
        <v>1</v>
      </c>
      <c r="C70" s="70" t="s">
        <v>121</v>
      </c>
      <c r="D70" s="108">
        <v>3</v>
      </c>
      <c r="E70" s="108">
        <v>1</v>
      </c>
      <c r="F70" s="108">
        <v>4</v>
      </c>
      <c r="G70" s="109">
        <v>4</v>
      </c>
      <c r="H70" s="108">
        <v>5</v>
      </c>
      <c r="I70" s="109">
        <v>3</v>
      </c>
      <c r="J70" s="61"/>
      <c r="K70" s="61"/>
      <c r="L70" s="67"/>
      <c r="M70" s="66"/>
      <c r="N70" s="66"/>
      <c r="O70" s="61"/>
      <c r="P70" s="61"/>
      <c r="Q70" s="61"/>
    </row>
    <row r="71" spans="1:17" ht="25.5" x14ac:dyDescent="0.2">
      <c r="A71" s="73"/>
      <c r="B71" s="74"/>
      <c r="C71" s="75" t="s">
        <v>118</v>
      </c>
      <c r="D71" s="110"/>
      <c r="E71" s="110">
        <v>1</v>
      </c>
      <c r="F71" s="110"/>
      <c r="G71" s="111">
        <v>1</v>
      </c>
      <c r="H71" s="110"/>
      <c r="I71" s="111">
        <v>2</v>
      </c>
      <c r="J71" s="61"/>
      <c r="K71" s="61"/>
      <c r="L71" s="67"/>
      <c r="M71" s="66"/>
      <c r="N71" s="66"/>
      <c r="O71" s="61"/>
      <c r="P71" s="61"/>
      <c r="Q71" s="61"/>
    </row>
    <row r="72" spans="1:17" x14ac:dyDescent="0.2">
      <c r="A72" s="68"/>
      <c r="B72" s="69"/>
      <c r="C72" s="70" t="s">
        <v>60</v>
      </c>
      <c r="D72" s="108">
        <v>4</v>
      </c>
      <c r="E72" s="108">
        <v>5</v>
      </c>
      <c r="F72" s="108">
        <v>10</v>
      </c>
      <c r="G72" s="109">
        <v>15</v>
      </c>
      <c r="H72" s="108">
        <v>16</v>
      </c>
      <c r="I72" s="109">
        <v>13</v>
      </c>
      <c r="J72" s="61"/>
      <c r="K72" s="61"/>
      <c r="L72" s="67"/>
      <c r="M72" s="66"/>
      <c r="N72" s="66"/>
      <c r="O72" s="61"/>
      <c r="P72" s="61"/>
      <c r="Q72" s="61"/>
    </row>
    <row r="73" spans="1:17" ht="25.5" x14ac:dyDescent="0.2">
      <c r="A73" s="73"/>
      <c r="B73" s="74"/>
      <c r="C73" s="75" t="s">
        <v>119</v>
      </c>
      <c r="D73" s="110">
        <v>3</v>
      </c>
      <c r="E73" s="110">
        <v>4</v>
      </c>
      <c r="F73" s="110">
        <v>5</v>
      </c>
      <c r="G73" s="111">
        <v>8</v>
      </c>
      <c r="H73" s="110">
        <v>13</v>
      </c>
      <c r="I73" s="111">
        <v>6</v>
      </c>
      <c r="J73" s="66"/>
      <c r="K73" s="66"/>
      <c r="L73" s="67"/>
      <c r="M73" s="66"/>
      <c r="N73" s="66"/>
      <c r="O73" s="61"/>
      <c r="P73" s="61"/>
      <c r="Q73" s="61"/>
    </row>
    <row r="74" spans="1:17" x14ac:dyDescent="0.2">
      <c r="A74" s="68"/>
      <c r="B74" s="69"/>
      <c r="C74" s="70" t="s">
        <v>122</v>
      </c>
      <c r="D74" s="108">
        <v>13</v>
      </c>
      <c r="E74" s="108">
        <v>16</v>
      </c>
      <c r="F74" s="108">
        <v>12</v>
      </c>
      <c r="G74" s="109">
        <v>23</v>
      </c>
      <c r="H74" s="108">
        <v>22</v>
      </c>
      <c r="I74" s="109">
        <v>15</v>
      </c>
      <c r="J74" s="61"/>
      <c r="K74" s="61"/>
      <c r="L74" s="67"/>
      <c r="M74" s="66"/>
      <c r="N74" s="66"/>
      <c r="O74" s="61"/>
      <c r="P74" s="61"/>
      <c r="Q74" s="61"/>
    </row>
    <row r="75" spans="1:17" x14ac:dyDescent="0.2">
      <c r="A75" s="73"/>
      <c r="B75" s="74"/>
      <c r="C75" s="75" t="s">
        <v>115</v>
      </c>
      <c r="D75" s="110">
        <v>1</v>
      </c>
      <c r="E75" s="110">
        <v>4</v>
      </c>
      <c r="F75" s="110">
        <v>2</v>
      </c>
      <c r="G75" s="111"/>
      <c r="H75" s="110">
        <v>3</v>
      </c>
      <c r="I75" s="111">
        <v>2</v>
      </c>
      <c r="J75" s="61"/>
      <c r="K75" s="61"/>
      <c r="L75" s="67"/>
      <c r="M75" s="66"/>
      <c r="N75" s="66"/>
      <c r="O75" s="61"/>
      <c r="P75" s="61"/>
      <c r="Q75" s="61"/>
    </row>
    <row r="76" spans="1:17" ht="25.5" x14ac:dyDescent="0.2">
      <c r="A76" s="68"/>
      <c r="B76" s="69">
        <v>2</v>
      </c>
      <c r="C76" s="70" t="s">
        <v>121</v>
      </c>
      <c r="D76" s="108">
        <v>33</v>
      </c>
      <c r="E76" s="108">
        <v>13</v>
      </c>
      <c r="F76" s="108">
        <v>36</v>
      </c>
      <c r="G76" s="109">
        <v>38</v>
      </c>
      <c r="H76" s="108">
        <v>38</v>
      </c>
      <c r="I76" s="109">
        <v>38</v>
      </c>
      <c r="J76" s="66"/>
      <c r="K76" s="66"/>
      <c r="L76" s="67"/>
      <c r="M76" s="66"/>
      <c r="N76" s="66"/>
      <c r="O76" s="61"/>
      <c r="P76" s="61"/>
      <c r="Q76" s="61"/>
    </row>
    <row r="77" spans="1:17" ht="25.5" x14ac:dyDescent="0.2">
      <c r="A77" s="73"/>
      <c r="B77" s="74"/>
      <c r="C77" s="75" t="s">
        <v>118</v>
      </c>
      <c r="D77" s="110">
        <v>3</v>
      </c>
      <c r="E77" s="110">
        <v>6</v>
      </c>
      <c r="F77" s="110">
        <v>4</v>
      </c>
      <c r="G77" s="111">
        <v>3</v>
      </c>
      <c r="H77" s="110">
        <v>7</v>
      </c>
      <c r="I77" s="111">
        <v>7</v>
      </c>
      <c r="J77" s="61"/>
      <c r="K77" s="61"/>
      <c r="L77" s="67"/>
      <c r="M77" s="66"/>
      <c r="N77" s="66"/>
      <c r="O77" s="61"/>
      <c r="P77" s="61"/>
      <c r="Q77" s="61"/>
    </row>
    <row r="78" spans="1:17" ht="25.5" x14ac:dyDescent="0.2">
      <c r="A78" s="68"/>
      <c r="B78" s="69"/>
      <c r="C78" s="70" t="s">
        <v>116</v>
      </c>
      <c r="D78" s="108">
        <v>1</v>
      </c>
      <c r="E78" s="108">
        <v>3</v>
      </c>
      <c r="F78" s="108">
        <v>2</v>
      </c>
      <c r="G78" s="109">
        <v>8</v>
      </c>
      <c r="H78" s="108">
        <v>1</v>
      </c>
      <c r="I78" s="109">
        <v>2</v>
      </c>
      <c r="J78" s="61"/>
      <c r="K78" s="61"/>
      <c r="L78" s="67"/>
      <c r="M78" s="66"/>
      <c r="N78" s="66"/>
      <c r="O78" s="61"/>
      <c r="P78" s="61"/>
      <c r="Q78" s="61"/>
    </row>
    <row r="79" spans="1:17" x14ac:dyDescent="0.2">
      <c r="A79" s="73"/>
      <c r="B79" s="74"/>
      <c r="C79" s="75" t="s">
        <v>122</v>
      </c>
      <c r="D79" s="110">
        <v>10</v>
      </c>
      <c r="E79" s="110">
        <v>4</v>
      </c>
      <c r="F79" s="110">
        <v>3</v>
      </c>
      <c r="G79" s="111">
        <v>8</v>
      </c>
      <c r="H79" s="110">
        <v>5</v>
      </c>
      <c r="I79" s="111">
        <v>9</v>
      </c>
      <c r="J79" s="61"/>
      <c r="K79" s="61"/>
      <c r="L79" s="67"/>
      <c r="M79" s="66"/>
      <c r="N79" s="66"/>
      <c r="O79" s="61"/>
      <c r="P79" s="61"/>
      <c r="Q79" s="61"/>
    </row>
    <row r="80" spans="1:17" x14ac:dyDescent="0.2">
      <c r="A80" s="68"/>
      <c r="B80" s="69"/>
      <c r="C80" s="70" t="s">
        <v>115</v>
      </c>
      <c r="D80" s="108">
        <v>2</v>
      </c>
      <c r="E80" s="108">
        <v>1</v>
      </c>
      <c r="F80" s="108">
        <v>1</v>
      </c>
      <c r="G80" s="109">
        <v>2</v>
      </c>
      <c r="H80" s="108">
        <v>1</v>
      </c>
      <c r="I80" s="109"/>
      <c r="J80" s="61"/>
      <c r="K80" s="61"/>
      <c r="L80" s="67"/>
      <c r="M80" s="66"/>
      <c r="N80" s="66"/>
      <c r="O80" s="61"/>
      <c r="P80" s="61"/>
      <c r="Q80" s="61"/>
    </row>
    <row r="81" spans="1:17" ht="25.5" x14ac:dyDescent="0.2">
      <c r="A81" s="73"/>
      <c r="B81" s="74">
        <v>2.5</v>
      </c>
      <c r="C81" s="75" t="s">
        <v>121</v>
      </c>
      <c r="D81" s="110">
        <v>3</v>
      </c>
      <c r="E81" s="110">
        <v>4</v>
      </c>
      <c r="F81" s="110">
        <v>7</v>
      </c>
      <c r="G81" s="111">
        <v>11</v>
      </c>
      <c r="H81" s="110">
        <v>10</v>
      </c>
      <c r="I81" s="111">
        <v>8</v>
      </c>
      <c r="J81" s="61"/>
      <c r="K81" s="61"/>
      <c r="L81" s="67"/>
      <c r="M81" s="66"/>
      <c r="N81" s="66"/>
      <c r="O81" s="61"/>
      <c r="P81" s="61"/>
      <c r="Q81" s="61"/>
    </row>
    <row r="82" spans="1:17" ht="25.5" x14ac:dyDescent="0.2">
      <c r="A82" s="68"/>
      <c r="B82" s="69"/>
      <c r="C82" s="70" t="s">
        <v>116</v>
      </c>
      <c r="D82" s="108">
        <v>26</v>
      </c>
      <c r="E82" s="108">
        <v>33</v>
      </c>
      <c r="F82" s="108">
        <v>39</v>
      </c>
      <c r="G82" s="109">
        <v>47</v>
      </c>
      <c r="H82" s="108">
        <v>47</v>
      </c>
      <c r="I82" s="109">
        <v>47</v>
      </c>
      <c r="J82" s="61"/>
      <c r="K82" s="61"/>
      <c r="L82" s="67"/>
      <c r="M82" s="66"/>
      <c r="N82" s="66"/>
      <c r="O82" s="61"/>
      <c r="P82" s="61"/>
      <c r="Q82" s="61"/>
    </row>
    <row r="83" spans="1:17" ht="38.25" x14ac:dyDescent="0.2">
      <c r="A83" s="73"/>
      <c r="B83" s="74"/>
      <c r="C83" s="75" t="s">
        <v>113</v>
      </c>
      <c r="D83" s="110">
        <v>4</v>
      </c>
      <c r="E83" s="110">
        <v>5</v>
      </c>
      <c r="F83" s="110"/>
      <c r="G83" s="111">
        <v>2</v>
      </c>
      <c r="H83" s="110">
        <v>5</v>
      </c>
      <c r="I83" s="111">
        <v>2</v>
      </c>
      <c r="J83" s="61"/>
      <c r="K83" s="61"/>
      <c r="L83" s="67"/>
      <c r="M83" s="66"/>
      <c r="N83" s="66"/>
      <c r="O83" s="61"/>
      <c r="P83" s="61"/>
      <c r="Q83" s="61"/>
    </row>
    <row r="84" spans="1:17" x14ac:dyDescent="0.2">
      <c r="A84" s="68"/>
      <c r="B84" s="69"/>
      <c r="C84" s="70" t="s">
        <v>117</v>
      </c>
      <c r="D84" s="108">
        <v>5</v>
      </c>
      <c r="E84" s="108">
        <v>3</v>
      </c>
      <c r="F84" s="108">
        <v>6</v>
      </c>
      <c r="G84" s="109">
        <v>5</v>
      </c>
      <c r="H84" s="108">
        <v>8</v>
      </c>
      <c r="I84" s="109">
        <v>11</v>
      </c>
      <c r="J84" s="66"/>
      <c r="K84" s="66"/>
      <c r="L84" s="67"/>
      <c r="M84" s="66"/>
      <c r="N84" s="66"/>
      <c r="O84" s="61"/>
      <c r="P84" s="61"/>
      <c r="Q84" s="61"/>
    </row>
    <row r="85" spans="1:17" ht="25.5" x14ac:dyDescent="0.2">
      <c r="A85" s="73" t="s">
        <v>101</v>
      </c>
      <c r="B85" s="74">
        <v>1</v>
      </c>
      <c r="C85" s="75" t="s">
        <v>121</v>
      </c>
      <c r="D85" s="110">
        <v>1</v>
      </c>
      <c r="E85" s="110">
        <v>2</v>
      </c>
      <c r="F85" s="110">
        <v>4</v>
      </c>
      <c r="G85" s="111">
        <v>4</v>
      </c>
      <c r="H85" s="110">
        <v>3</v>
      </c>
      <c r="I85" s="111">
        <v>3</v>
      </c>
      <c r="J85" s="61"/>
      <c r="K85" s="61"/>
      <c r="L85" s="67"/>
      <c r="M85" s="61"/>
      <c r="N85" s="66"/>
      <c r="O85" s="61"/>
      <c r="P85" s="61"/>
      <c r="Q85" s="61"/>
    </row>
    <row r="86" spans="1:17" x14ac:dyDescent="0.2">
      <c r="A86" s="68"/>
      <c r="B86" s="69"/>
      <c r="C86" s="70" t="s">
        <v>60</v>
      </c>
      <c r="D86" s="108">
        <v>2</v>
      </c>
      <c r="E86" s="108">
        <v>4</v>
      </c>
      <c r="F86" s="108">
        <v>6</v>
      </c>
      <c r="G86" s="109">
        <v>4</v>
      </c>
      <c r="H86" s="108">
        <v>8</v>
      </c>
      <c r="I86" s="109">
        <v>6</v>
      </c>
      <c r="J86" s="61"/>
      <c r="K86" s="61"/>
      <c r="L86" s="67"/>
      <c r="M86" s="61"/>
      <c r="N86" s="66"/>
      <c r="O86" s="61"/>
      <c r="P86" s="61"/>
      <c r="Q86" s="61"/>
    </row>
    <row r="87" spans="1:17" ht="25.5" x14ac:dyDescent="0.2">
      <c r="A87" s="73"/>
      <c r="B87" s="74"/>
      <c r="C87" s="75" t="s">
        <v>119</v>
      </c>
      <c r="D87" s="110">
        <v>14</v>
      </c>
      <c r="E87" s="110">
        <v>22</v>
      </c>
      <c r="F87" s="110">
        <v>4</v>
      </c>
      <c r="G87" s="111">
        <v>13</v>
      </c>
      <c r="H87" s="110">
        <v>11</v>
      </c>
      <c r="I87" s="111">
        <v>10</v>
      </c>
      <c r="J87" s="61"/>
      <c r="K87" s="61"/>
      <c r="L87" s="67"/>
      <c r="M87" s="61"/>
      <c r="N87" s="66"/>
      <c r="O87" s="61"/>
      <c r="P87" s="61"/>
      <c r="Q87" s="61"/>
    </row>
    <row r="88" spans="1:17" x14ac:dyDescent="0.2">
      <c r="A88" s="68"/>
      <c r="B88" s="69"/>
      <c r="C88" s="70" t="s">
        <v>122</v>
      </c>
      <c r="D88" s="108">
        <v>27</v>
      </c>
      <c r="E88" s="108">
        <v>37</v>
      </c>
      <c r="F88" s="108">
        <v>33</v>
      </c>
      <c r="G88" s="109">
        <v>36</v>
      </c>
      <c r="H88" s="108">
        <v>37</v>
      </c>
      <c r="I88" s="109">
        <v>45</v>
      </c>
      <c r="J88" s="61"/>
      <c r="K88" s="61"/>
      <c r="L88" s="67"/>
      <c r="M88" s="61"/>
      <c r="N88" s="66"/>
      <c r="O88" s="61"/>
      <c r="P88" s="61"/>
      <c r="Q88" s="61"/>
    </row>
    <row r="89" spans="1:17" x14ac:dyDescent="0.2">
      <c r="A89" s="73"/>
      <c r="B89" s="74"/>
      <c r="C89" s="75" t="s">
        <v>115</v>
      </c>
      <c r="D89" s="110"/>
      <c r="E89" s="110">
        <v>1</v>
      </c>
      <c r="F89" s="110">
        <v>1</v>
      </c>
      <c r="G89" s="111">
        <v>1</v>
      </c>
      <c r="H89" s="110">
        <v>1</v>
      </c>
      <c r="I89" s="111">
        <v>1</v>
      </c>
      <c r="J89" s="61"/>
      <c r="K89" s="61"/>
      <c r="L89" s="67"/>
      <c r="M89" s="61"/>
      <c r="N89" s="66"/>
      <c r="O89" s="61"/>
      <c r="P89" s="61"/>
      <c r="Q89" s="61"/>
    </row>
    <row r="90" spans="1:17" ht="25.5" x14ac:dyDescent="0.2">
      <c r="A90" s="68"/>
      <c r="B90" s="69">
        <v>2</v>
      </c>
      <c r="C90" s="70" t="s">
        <v>121</v>
      </c>
      <c r="D90" s="108">
        <v>55</v>
      </c>
      <c r="E90" s="108">
        <v>64</v>
      </c>
      <c r="F90" s="108">
        <v>79</v>
      </c>
      <c r="G90" s="109">
        <v>88</v>
      </c>
      <c r="H90" s="108">
        <v>77</v>
      </c>
      <c r="I90" s="109">
        <v>98</v>
      </c>
      <c r="J90" s="61"/>
      <c r="K90" s="61"/>
      <c r="L90" s="67"/>
      <c r="M90" s="61"/>
      <c r="N90" s="66"/>
      <c r="O90" s="61"/>
      <c r="P90" s="61"/>
      <c r="Q90" s="61"/>
    </row>
    <row r="91" spans="1:17" ht="25.5" x14ac:dyDescent="0.2">
      <c r="A91" s="73"/>
      <c r="B91" s="74"/>
      <c r="C91" s="75" t="s">
        <v>118</v>
      </c>
      <c r="D91" s="110">
        <v>5</v>
      </c>
      <c r="E91" s="110">
        <v>8</v>
      </c>
      <c r="F91" s="110">
        <v>8</v>
      </c>
      <c r="G91" s="111">
        <v>12</v>
      </c>
      <c r="H91" s="110">
        <v>7</v>
      </c>
      <c r="I91" s="111">
        <v>9</v>
      </c>
      <c r="J91" s="61"/>
      <c r="K91" s="61"/>
      <c r="L91" s="67"/>
      <c r="M91" s="61"/>
      <c r="N91" s="66"/>
      <c r="O91" s="61"/>
      <c r="P91" s="61"/>
      <c r="Q91" s="61"/>
    </row>
    <row r="92" spans="1:17" ht="25.5" x14ac:dyDescent="0.2">
      <c r="A92" s="68"/>
      <c r="B92" s="69"/>
      <c r="C92" s="70" t="s">
        <v>116</v>
      </c>
      <c r="D92" s="108"/>
      <c r="E92" s="108"/>
      <c r="F92" s="108"/>
      <c r="G92" s="109">
        <v>1</v>
      </c>
      <c r="H92" s="108">
        <v>2</v>
      </c>
      <c r="I92" s="109"/>
      <c r="J92" s="61"/>
      <c r="K92" s="61"/>
      <c r="L92" s="67"/>
      <c r="M92" s="61"/>
      <c r="N92" s="66"/>
      <c r="O92" s="61"/>
      <c r="P92" s="61"/>
      <c r="Q92" s="61"/>
    </row>
    <row r="93" spans="1:17" ht="38.25" x14ac:dyDescent="0.2">
      <c r="A93" s="73"/>
      <c r="B93" s="74"/>
      <c r="C93" s="75" t="s">
        <v>113</v>
      </c>
      <c r="D93" s="110"/>
      <c r="E93" s="110"/>
      <c r="F93" s="110">
        <v>1</v>
      </c>
      <c r="G93" s="111"/>
      <c r="H93" s="110"/>
      <c r="I93" s="111"/>
      <c r="J93" s="61"/>
      <c r="K93" s="61"/>
      <c r="L93" s="67"/>
      <c r="M93" s="61"/>
      <c r="N93" s="66"/>
      <c r="O93" s="61"/>
      <c r="P93" s="61"/>
      <c r="Q93" s="61"/>
    </row>
    <row r="94" spans="1:17" x14ac:dyDescent="0.2">
      <c r="A94" s="68"/>
      <c r="B94" s="69"/>
      <c r="C94" s="70" t="s">
        <v>117</v>
      </c>
      <c r="D94" s="108">
        <v>9</v>
      </c>
      <c r="E94" s="108">
        <v>8</v>
      </c>
      <c r="F94" s="108">
        <v>13</v>
      </c>
      <c r="G94" s="109">
        <v>9</v>
      </c>
      <c r="H94" s="108">
        <v>8</v>
      </c>
      <c r="I94" s="109">
        <v>7</v>
      </c>
      <c r="J94" s="61"/>
      <c r="K94" s="61"/>
      <c r="L94" s="67"/>
      <c r="M94" s="61"/>
      <c r="N94" s="66"/>
      <c r="O94" s="61"/>
      <c r="P94" s="61"/>
      <c r="Q94" s="61"/>
    </row>
    <row r="95" spans="1:17" x14ac:dyDescent="0.2">
      <c r="A95" s="73"/>
      <c r="B95" s="74"/>
      <c r="C95" s="75" t="s">
        <v>122</v>
      </c>
      <c r="D95" s="110">
        <v>12</v>
      </c>
      <c r="E95" s="110">
        <v>11</v>
      </c>
      <c r="F95" s="110">
        <v>8</v>
      </c>
      <c r="G95" s="111">
        <v>6</v>
      </c>
      <c r="H95" s="110">
        <v>15</v>
      </c>
      <c r="I95" s="111">
        <v>12</v>
      </c>
      <c r="J95" s="66"/>
      <c r="K95" s="66"/>
      <c r="L95" s="67"/>
      <c r="M95" s="61"/>
      <c r="N95" s="66"/>
      <c r="O95" s="61"/>
      <c r="P95" s="61"/>
      <c r="Q95" s="61"/>
    </row>
    <row r="96" spans="1:17" x14ac:dyDescent="0.2">
      <c r="A96" s="68"/>
      <c r="B96" s="69"/>
      <c r="C96" s="70" t="s">
        <v>115</v>
      </c>
      <c r="D96" s="108">
        <v>3</v>
      </c>
      <c r="E96" s="108">
        <v>3</v>
      </c>
      <c r="F96" s="108">
        <v>6</v>
      </c>
      <c r="G96" s="109">
        <v>2</v>
      </c>
      <c r="H96" s="108">
        <v>2</v>
      </c>
      <c r="I96" s="109">
        <v>3</v>
      </c>
      <c r="J96" s="61"/>
      <c r="K96" s="61"/>
      <c r="L96" s="67"/>
      <c r="M96" s="61"/>
      <c r="N96" s="61"/>
      <c r="O96" s="61"/>
      <c r="P96" s="61"/>
      <c r="Q96" s="61"/>
    </row>
    <row r="97" spans="1:17" ht="25.5" x14ac:dyDescent="0.2">
      <c r="A97" s="73"/>
      <c r="B97" s="74">
        <v>2.5</v>
      </c>
      <c r="C97" s="75" t="s">
        <v>121</v>
      </c>
      <c r="D97" s="110">
        <v>5</v>
      </c>
      <c r="E97" s="110">
        <v>5</v>
      </c>
      <c r="F97" s="110">
        <v>7</v>
      </c>
      <c r="G97" s="111">
        <v>5</v>
      </c>
      <c r="H97" s="110">
        <v>2</v>
      </c>
      <c r="I97" s="111">
        <v>5</v>
      </c>
      <c r="J97" s="66"/>
      <c r="K97" s="66"/>
      <c r="L97" s="67"/>
      <c r="M97" s="66"/>
      <c r="N97" s="61"/>
      <c r="O97" s="61"/>
      <c r="P97" s="66"/>
      <c r="Q97" s="63"/>
    </row>
    <row r="98" spans="1:17" ht="25.5" x14ac:dyDescent="0.2">
      <c r="A98" s="68"/>
      <c r="B98" s="69"/>
      <c r="C98" s="70" t="s">
        <v>116</v>
      </c>
      <c r="D98" s="108">
        <v>1</v>
      </c>
      <c r="E98" s="108"/>
      <c r="F98" s="108">
        <v>1</v>
      </c>
      <c r="G98" s="109">
        <v>2</v>
      </c>
      <c r="H98" s="108">
        <v>2</v>
      </c>
      <c r="I98" s="109">
        <v>1</v>
      </c>
    </row>
    <row r="99" spans="1:17" x14ac:dyDescent="0.2">
      <c r="A99" s="73"/>
      <c r="B99" s="74"/>
      <c r="C99" s="75" t="s">
        <v>117</v>
      </c>
      <c r="D99" s="110">
        <v>68</v>
      </c>
      <c r="E99" s="110">
        <v>51</v>
      </c>
      <c r="F99" s="110">
        <v>56</v>
      </c>
      <c r="G99" s="111">
        <v>63</v>
      </c>
      <c r="H99" s="110">
        <v>55</v>
      </c>
      <c r="I99" s="111">
        <v>60</v>
      </c>
    </row>
    <row r="100" spans="1:17" x14ac:dyDescent="0.2">
      <c r="A100" s="68"/>
      <c r="B100" s="69"/>
      <c r="C100" s="70" t="s">
        <v>122</v>
      </c>
      <c r="D100" s="108">
        <v>6</v>
      </c>
      <c r="E100" s="108">
        <v>4</v>
      </c>
      <c r="F100" s="108">
        <v>3</v>
      </c>
      <c r="G100" s="109">
        <v>1</v>
      </c>
      <c r="H100" s="108">
        <v>5</v>
      </c>
      <c r="I100" s="109">
        <v>2</v>
      </c>
    </row>
    <row r="101" spans="1:17" ht="25.5" x14ac:dyDescent="0.2">
      <c r="A101" s="73" t="s">
        <v>105</v>
      </c>
      <c r="B101" s="74">
        <v>1</v>
      </c>
      <c r="C101" s="75" t="s">
        <v>121</v>
      </c>
      <c r="D101" s="110">
        <v>1</v>
      </c>
      <c r="E101" s="110">
        <v>1</v>
      </c>
      <c r="F101" s="110"/>
      <c r="G101" s="111"/>
      <c r="H101" s="110">
        <v>1</v>
      </c>
      <c r="I101" s="111"/>
    </row>
    <row r="102" spans="1:17" x14ac:dyDescent="0.2">
      <c r="A102" s="68"/>
      <c r="B102" s="69"/>
      <c r="C102" s="70" t="s">
        <v>60</v>
      </c>
      <c r="D102" s="108">
        <v>7</v>
      </c>
      <c r="E102" s="108">
        <v>14</v>
      </c>
      <c r="F102" s="108">
        <v>4</v>
      </c>
      <c r="G102" s="109">
        <v>10</v>
      </c>
      <c r="H102" s="108">
        <v>13</v>
      </c>
      <c r="I102" s="109">
        <v>9</v>
      </c>
    </row>
    <row r="103" spans="1:17" ht="25.5" x14ac:dyDescent="0.2">
      <c r="A103" s="73"/>
      <c r="B103" s="74"/>
      <c r="C103" s="75" t="s">
        <v>119</v>
      </c>
      <c r="D103" s="110">
        <v>14</v>
      </c>
      <c r="E103" s="110">
        <v>15</v>
      </c>
      <c r="F103" s="110">
        <v>12</v>
      </c>
      <c r="G103" s="111">
        <v>19</v>
      </c>
      <c r="H103" s="110">
        <v>13</v>
      </c>
      <c r="I103" s="111">
        <v>10</v>
      </c>
    </row>
    <row r="104" spans="1:17" x14ac:dyDescent="0.2">
      <c r="A104" s="68"/>
      <c r="B104" s="69"/>
      <c r="C104" s="70" t="s">
        <v>122</v>
      </c>
      <c r="D104" s="108">
        <v>8</v>
      </c>
      <c r="E104" s="108">
        <v>19</v>
      </c>
      <c r="F104" s="108">
        <v>14</v>
      </c>
      <c r="G104" s="109">
        <v>17</v>
      </c>
      <c r="H104" s="108">
        <v>21</v>
      </c>
      <c r="I104" s="109">
        <v>18</v>
      </c>
    </row>
    <row r="105" spans="1:17" x14ac:dyDescent="0.2">
      <c r="A105" s="73"/>
      <c r="B105" s="74"/>
      <c r="C105" s="75" t="s">
        <v>115</v>
      </c>
      <c r="D105" s="110"/>
      <c r="E105" s="110">
        <v>4</v>
      </c>
      <c r="F105" s="110">
        <v>2</v>
      </c>
      <c r="G105" s="111">
        <v>3</v>
      </c>
      <c r="H105" s="110">
        <v>1</v>
      </c>
      <c r="I105" s="111">
        <v>1</v>
      </c>
    </row>
    <row r="106" spans="1:17" ht="25.5" x14ac:dyDescent="0.2">
      <c r="A106" s="68"/>
      <c r="B106" s="69">
        <v>2</v>
      </c>
      <c r="C106" s="70" t="s">
        <v>121</v>
      </c>
      <c r="D106" s="108">
        <v>12</v>
      </c>
      <c r="E106" s="108">
        <v>21</v>
      </c>
      <c r="F106" s="108">
        <v>18</v>
      </c>
      <c r="G106" s="109">
        <v>18</v>
      </c>
      <c r="H106" s="108">
        <v>12</v>
      </c>
      <c r="I106" s="109">
        <v>14</v>
      </c>
    </row>
    <row r="107" spans="1:17" ht="25.5" x14ac:dyDescent="0.2">
      <c r="A107" s="73"/>
      <c r="B107" s="74"/>
      <c r="C107" s="75" t="s">
        <v>118</v>
      </c>
      <c r="D107" s="110">
        <v>5</v>
      </c>
      <c r="E107" s="110">
        <v>4</v>
      </c>
      <c r="F107" s="110">
        <v>5</v>
      </c>
      <c r="G107" s="111">
        <v>5</v>
      </c>
      <c r="H107" s="110">
        <v>2</v>
      </c>
      <c r="I107" s="111">
        <v>3</v>
      </c>
    </row>
    <row r="108" spans="1:17" x14ac:dyDescent="0.2">
      <c r="A108" s="68"/>
      <c r="B108" s="69"/>
      <c r="C108" s="70" t="s">
        <v>60</v>
      </c>
      <c r="D108" s="108">
        <v>1</v>
      </c>
      <c r="E108" s="108">
        <v>4</v>
      </c>
      <c r="F108" s="108">
        <v>1</v>
      </c>
      <c r="G108" s="109">
        <v>4</v>
      </c>
      <c r="H108" s="108">
        <v>3</v>
      </c>
      <c r="I108" s="109">
        <v>2</v>
      </c>
    </row>
    <row r="109" spans="1:17" x14ac:dyDescent="0.2">
      <c r="A109" s="73"/>
      <c r="B109" s="74"/>
      <c r="C109" s="75" t="s">
        <v>122</v>
      </c>
      <c r="D109" s="110">
        <v>7</v>
      </c>
      <c r="E109" s="110">
        <v>10</v>
      </c>
      <c r="F109" s="110">
        <v>10</v>
      </c>
      <c r="G109" s="111">
        <v>2</v>
      </c>
      <c r="H109" s="110">
        <v>13</v>
      </c>
      <c r="I109" s="111">
        <v>8</v>
      </c>
    </row>
    <row r="110" spans="1:17" x14ac:dyDescent="0.2">
      <c r="A110" s="68"/>
      <c r="B110" s="69"/>
      <c r="C110" s="70" t="s">
        <v>115</v>
      </c>
      <c r="D110" s="108"/>
      <c r="E110" s="108"/>
      <c r="F110" s="108">
        <v>1</v>
      </c>
      <c r="G110" s="109"/>
      <c r="H110" s="108">
        <v>1</v>
      </c>
      <c r="I110" s="109">
        <v>2</v>
      </c>
    </row>
    <row r="111" spans="1:17" ht="25.5" x14ac:dyDescent="0.2">
      <c r="A111" s="73"/>
      <c r="B111" s="74">
        <v>2.5</v>
      </c>
      <c r="C111" s="75" t="s">
        <v>116</v>
      </c>
      <c r="D111" s="110">
        <v>6</v>
      </c>
      <c r="E111" s="110">
        <v>4</v>
      </c>
      <c r="F111" s="110">
        <v>4</v>
      </c>
      <c r="G111" s="111">
        <v>5</v>
      </c>
      <c r="H111" s="110">
        <v>8</v>
      </c>
      <c r="I111" s="111">
        <v>12</v>
      </c>
    </row>
    <row r="112" spans="1:17" ht="25.5" x14ac:dyDescent="0.2">
      <c r="A112" s="68" t="s">
        <v>104</v>
      </c>
      <c r="B112" s="69">
        <v>1</v>
      </c>
      <c r="C112" s="70" t="s">
        <v>121</v>
      </c>
      <c r="D112" s="108">
        <v>3</v>
      </c>
      <c r="E112" s="108">
        <v>6</v>
      </c>
      <c r="F112" s="108">
        <v>1</v>
      </c>
      <c r="G112" s="109">
        <v>2</v>
      </c>
      <c r="H112" s="108">
        <v>3</v>
      </c>
      <c r="I112" s="109">
        <v>7</v>
      </c>
    </row>
    <row r="113" spans="1:9" x14ac:dyDescent="0.2">
      <c r="A113" s="73"/>
      <c r="B113" s="74"/>
      <c r="C113" s="75" t="s">
        <v>60</v>
      </c>
      <c r="D113" s="110">
        <v>15</v>
      </c>
      <c r="E113" s="110">
        <v>11</v>
      </c>
      <c r="F113" s="110">
        <v>11</v>
      </c>
      <c r="G113" s="111">
        <v>9</v>
      </c>
      <c r="H113" s="110">
        <v>20</v>
      </c>
      <c r="I113" s="111">
        <v>12</v>
      </c>
    </row>
    <row r="114" spans="1:9" ht="25.5" x14ac:dyDescent="0.2">
      <c r="A114" s="68"/>
      <c r="B114" s="69"/>
      <c r="C114" s="70" t="s">
        <v>119</v>
      </c>
      <c r="D114" s="108">
        <v>10</v>
      </c>
      <c r="E114" s="108">
        <v>13</v>
      </c>
      <c r="F114" s="108">
        <v>5</v>
      </c>
      <c r="G114" s="109">
        <v>3</v>
      </c>
      <c r="H114" s="108">
        <v>17</v>
      </c>
      <c r="I114" s="109">
        <v>8</v>
      </c>
    </row>
    <row r="115" spans="1:9" x14ac:dyDescent="0.2">
      <c r="A115" s="73"/>
      <c r="B115" s="74"/>
      <c r="C115" s="75" t="s">
        <v>122</v>
      </c>
      <c r="D115" s="110">
        <v>35</v>
      </c>
      <c r="E115" s="110">
        <v>42</v>
      </c>
      <c r="F115" s="110">
        <v>29</v>
      </c>
      <c r="G115" s="111">
        <v>42</v>
      </c>
      <c r="H115" s="110">
        <v>37</v>
      </c>
      <c r="I115" s="111">
        <v>44</v>
      </c>
    </row>
    <row r="116" spans="1:9" x14ac:dyDescent="0.2">
      <c r="A116" s="68"/>
      <c r="B116" s="69"/>
      <c r="C116" s="70" t="s">
        <v>115</v>
      </c>
      <c r="D116" s="108">
        <v>1</v>
      </c>
      <c r="E116" s="108">
        <v>1</v>
      </c>
      <c r="F116" s="108">
        <v>5</v>
      </c>
      <c r="G116" s="109">
        <v>5</v>
      </c>
      <c r="H116" s="108">
        <v>2</v>
      </c>
      <c r="I116" s="109">
        <v>2</v>
      </c>
    </row>
    <row r="117" spans="1:9" ht="25.5" x14ac:dyDescent="0.2">
      <c r="A117" s="73"/>
      <c r="B117" s="74">
        <v>2</v>
      </c>
      <c r="C117" s="75" t="s">
        <v>121</v>
      </c>
      <c r="D117" s="110">
        <v>40</v>
      </c>
      <c r="E117" s="110">
        <v>45</v>
      </c>
      <c r="F117" s="110">
        <v>51</v>
      </c>
      <c r="G117" s="111">
        <v>55</v>
      </c>
      <c r="H117" s="110">
        <v>63</v>
      </c>
      <c r="I117" s="111">
        <v>57</v>
      </c>
    </row>
    <row r="118" spans="1:9" ht="25.5" x14ac:dyDescent="0.2">
      <c r="A118" s="68"/>
      <c r="B118" s="69"/>
      <c r="C118" s="70" t="s">
        <v>118</v>
      </c>
      <c r="D118" s="108">
        <v>11</v>
      </c>
      <c r="E118" s="108">
        <v>10</v>
      </c>
      <c r="F118" s="108">
        <v>10</v>
      </c>
      <c r="G118" s="109">
        <v>12</v>
      </c>
      <c r="H118" s="108">
        <v>14</v>
      </c>
      <c r="I118" s="109">
        <v>10</v>
      </c>
    </row>
    <row r="119" spans="1:9" ht="25.5" x14ac:dyDescent="0.2">
      <c r="A119" s="73"/>
      <c r="B119" s="74"/>
      <c r="C119" s="75" t="s">
        <v>116</v>
      </c>
      <c r="D119" s="110">
        <v>2</v>
      </c>
      <c r="E119" s="110">
        <v>5</v>
      </c>
      <c r="F119" s="110">
        <v>1</v>
      </c>
      <c r="G119" s="111">
        <v>8</v>
      </c>
      <c r="H119" s="110">
        <v>4</v>
      </c>
      <c r="I119" s="111">
        <v>3</v>
      </c>
    </row>
    <row r="120" spans="1:9" ht="25.5" x14ac:dyDescent="0.2">
      <c r="A120" s="68"/>
      <c r="B120" s="69"/>
      <c r="C120" s="70" t="s">
        <v>114</v>
      </c>
      <c r="D120" s="108"/>
      <c r="E120" s="108">
        <v>1</v>
      </c>
      <c r="F120" s="108">
        <v>1</v>
      </c>
      <c r="G120" s="109"/>
      <c r="H120" s="108">
        <v>1</v>
      </c>
      <c r="I120" s="109">
        <v>1</v>
      </c>
    </row>
    <row r="121" spans="1:9" ht="38.25" x14ac:dyDescent="0.2">
      <c r="A121" s="73"/>
      <c r="B121" s="74"/>
      <c r="C121" s="75" t="s">
        <v>113</v>
      </c>
      <c r="D121" s="110"/>
      <c r="E121" s="110">
        <v>2</v>
      </c>
      <c r="F121" s="110">
        <v>2</v>
      </c>
      <c r="G121" s="111">
        <v>3</v>
      </c>
      <c r="H121" s="110"/>
      <c r="I121" s="111">
        <v>1</v>
      </c>
    </row>
    <row r="122" spans="1:9" x14ac:dyDescent="0.2">
      <c r="A122" s="68"/>
      <c r="B122" s="69"/>
      <c r="C122" s="70" t="s">
        <v>117</v>
      </c>
      <c r="D122" s="108">
        <v>2</v>
      </c>
      <c r="E122" s="108">
        <v>3</v>
      </c>
      <c r="F122" s="108">
        <v>2</v>
      </c>
      <c r="G122" s="109">
        <v>1</v>
      </c>
      <c r="H122" s="108">
        <v>2</v>
      </c>
      <c r="I122" s="109"/>
    </row>
    <row r="123" spans="1:9" x14ac:dyDescent="0.2">
      <c r="A123" s="73"/>
      <c r="B123" s="74"/>
      <c r="C123" s="75" t="s">
        <v>122</v>
      </c>
      <c r="D123" s="110">
        <v>17</v>
      </c>
      <c r="E123" s="110">
        <v>5</v>
      </c>
      <c r="F123" s="110">
        <v>10</v>
      </c>
      <c r="G123" s="111">
        <v>18</v>
      </c>
      <c r="H123" s="110">
        <v>12</v>
      </c>
      <c r="I123" s="111">
        <v>10</v>
      </c>
    </row>
    <row r="124" spans="1:9" x14ac:dyDescent="0.2">
      <c r="A124" s="68"/>
      <c r="B124" s="69"/>
      <c r="C124" s="70" t="s">
        <v>115</v>
      </c>
      <c r="D124" s="108">
        <v>1</v>
      </c>
      <c r="E124" s="108">
        <v>4</v>
      </c>
      <c r="F124" s="108">
        <v>3</v>
      </c>
      <c r="G124" s="109">
        <v>2</v>
      </c>
      <c r="H124" s="108">
        <v>3</v>
      </c>
      <c r="I124" s="109">
        <v>5</v>
      </c>
    </row>
    <row r="125" spans="1:9" ht="25.5" x14ac:dyDescent="0.2">
      <c r="A125" s="73"/>
      <c r="B125" s="74">
        <v>2.5</v>
      </c>
      <c r="C125" s="75" t="s">
        <v>116</v>
      </c>
      <c r="D125" s="110">
        <v>1</v>
      </c>
      <c r="E125" s="110">
        <v>2</v>
      </c>
      <c r="F125" s="110"/>
      <c r="G125" s="111">
        <v>2</v>
      </c>
      <c r="H125" s="110">
        <v>2</v>
      </c>
      <c r="I125" s="111">
        <v>3</v>
      </c>
    </row>
    <row r="126" spans="1:9" ht="25.5" x14ac:dyDescent="0.2">
      <c r="A126" s="68"/>
      <c r="B126" s="69"/>
      <c r="C126" s="70" t="s">
        <v>114</v>
      </c>
      <c r="D126" s="108">
        <v>3</v>
      </c>
      <c r="E126" s="108">
        <v>3</v>
      </c>
      <c r="F126" s="108">
        <v>5</v>
      </c>
      <c r="G126" s="109">
        <v>2</v>
      </c>
      <c r="H126" s="108">
        <v>9</v>
      </c>
      <c r="I126" s="109">
        <v>8</v>
      </c>
    </row>
    <row r="127" spans="1:9" x14ac:dyDescent="0.2">
      <c r="A127" s="73"/>
      <c r="B127" s="74"/>
      <c r="C127" s="75" t="s">
        <v>117</v>
      </c>
      <c r="D127" s="110"/>
      <c r="E127" s="110"/>
      <c r="F127" s="110"/>
      <c r="G127" s="111">
        <v>1</v>
      </c>
      <c r="H127" s="110">
        <v>1</v>
      </c>
      <c r="I127" s="111">
        <v>2</v>
      </c>
    </row>
    <row r="128" spans="1:9" x14ac:dyDescent="0.2">
      <c r="A128" s="187" t="s">
        <v>39</v>
      </c>
      <c r="B128" s="188"/>
      <c r="C128" s="189"/>
      <c r="D128" s="190">
        <v>1036</v>
      </c>
      <c r="E128" s="190">
        <v>1113</v>
      </c>
      <c r="F128" s="190">
        <v>1182</v>
      </c>
      <c r="G128" s="191">
        <v>1349</v>
      </c>
      <c r="H128" s="190">
        <v>1403</v>
      </c>
      <c r="I128" s="191">
        <v>1355</v>
      </c>
    </row>
  </sheetData>
  <mergeCells count="1">
    <mergeCell ref="A2:K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1"/>
  <sheetViews>
    <sheetView topLeftCell="A100" workbookViewId="0">
      <selection activeCell="K21" sqref="K21"/>
    </sheetView>
  </sheetViews>
  <sheetFormatPr defaultRowHeight="15" x14ac:dyDescent="0.2"/>
  <cols>
    <col min="1" max="1" width="23.21875" customWidth="1"/>
    <col min="3" max="3" width="32.21875" customWidth="1"/>
  </cols>
  <sheetData>
    <row r="2" spans="1:9" ht="15.75" customHeight="1" x14ac:dyDescent="0.25">
      <c r="A2" s="1" t="s">
        <v>288</v>
      </c>
      <c r="E2" s="2"/>
      <c r="F2" s="1"/>
      <c r="H2" s="1"/>
    </row>
    <row r="4" spans="1:9" ht="24.75" thickBot="1" x14ac:dyDescent="0.25">
      <c r="A4" s="112" t="s">
        <v>97</v>
      </c>
      <c r="B4" s="113" t="s">
        <v>124</v>
      </c>
      <c r="C4" s="113" t="s">
        <v>138</v>
      </c>
      <c r="D4" s="113">
        <v>2010</v>
      </c>
      <c r="E4" s="113">
        <v>2011</v>
      </c>
      <c r="F4" s="113">
        <v>2012</v>
      </c>
      <c r="G4" s="113">
        <v>2013</v>
      </c>
      <c r="H4" s="113">
        <v>2014</v>
      </c>
      <c r="I4" s="113">
        <v>2015</v>
      </c>
    </row>
    <row r="5" spans="1:9" ht="15.75" thickTop="1" x14ac:dyDescent="0.2">
      <c r="A5" s="139" t="s">
        <v>106</v>
      </c>
      <c r="B5" s="139">
        <v>1</v>
      </c>
      <c r="C5" s="139" t="s">
        <v>121</v>
      </c>
      <c r="D5" s="115"/>
      <c r="E5" s="139"/>
      <c r="F5" s="139"/>
      <c r="G5" s="139"/>
      <c r="H5" s="139">
        <v>1</v>
      </c>
      <c r="I5" s="139"/>
    </row>
    <row r="6" spans="1:9" x14ac:dyDescent="0.2">
      <c r="A6" s="136"/>
      <c r="B6" s="136"/>
      <c r="C6" s="136" t="s">
        <v>117</v>
      </c>
      <c r="D6" s="114">
        <v>1</v>
      </c>
      <c r="E6" s="136">
        <v>2</v>
      </c>
      <c r="F6" s="136"/>
      <c r="G6" s="136">
        <v>1</v>
      </c>
      <c r="H6" s="136"/>
      <c r="I6" s="136">
        <v>2</v>
      </c>
    </row>
    <row r="7" spans="1:9" x14ac:dyDescent="0.2">
      <c r="A7" s="139"/>
      <c r="B7" s="139"/>
      <c r="C7" s="139" t="s">
        <v>60</v>
      </c>
      <c r="D7" s="115">
        <v>3</v>
      </c>
      <c r="E7" s="139">
        <v>5</v>
      </c>
      <c r="F7" s="139">
        <v>8</v>
      </c>
      <c r="G7" s="139">
        <v>4</v>
      </c>
      <c r="H7" s="139">
        <v>7</v>
      </c>
      <c r="I7" s="139">
        <v>8</v>
      </c>
    </row>
    <row r="8" spans="1:9" x14ac:dyDescent="0.2">
      <c r="A8" s="136"/>
      <c r="B8" s="136"/>
      <c r="C8" s="136" t="s">
        <v>119</v>
      </c>
      <c r="D8" s="114">
        <v>19</v>
      </c>
      <c r="E8" s="136">
        <v>10</v>
      </c>
      <c r="F8" s="136">
        <v>21</v>
      </c>
      <c r="G8" s="136">
        <v>17</v>
      </c>
      <c r="H8" s="136">
        <v>19</v>
      </c>
      <c r="I8" s="136">
        <v>24</v>
      </c>
    </row>
    <row r="9" spans="1:9" x14ac:dyDescent="0.2">
      <c r="A9" s="139"/>
      <c r="B9" s="139"/>
      <c r="C9" s="139" t="s">
        <v>122</v>
      </c>
      <c r="D9" s="115">
        <v>6</v>
      </c>
      <c r="E9" s="139">
        <v>3</v>
      </c>
      <c r="F9" s="139">
        <v>2</v>
      </c>
      <c r="G9" s="139">
        <v>2</v>
      </c>
      <c r="H9" s="139">
        <v>2</v>
      </c>
      <c r="I9" s="139">
        <v>8</v>
      </c>
    </row>
    <row r="10" spans="1:9" x14ac:dyDescent="0.2">
      <c r="A10" s="136"/>
      <c r="B10" s="136"/>
      <c r="C10" s="136" t="s">
        <v>115</v>
      </c>
      <c r="D10" s="114">
        <v>21</v>
      </c>
      <c r="E10" s="136">
        <v>27</v>
      </c>
      <c r="F10" s="136">
        <v>28</v>
      </c>
      <c r="G10" s="136">
        <v>35</v>
      </c>
      <c r="H10" s="136">
        <v>15</v>
      </c>
      <c r="I10" s="136">
        <v>31</v>
      </c>
    </row>
    <row r="11" spans="1:9" x14ac:dyDescent="0.2">
      <c r="A11" s="139"/>
      <c r="B11" s="139"/>
      <c r="C11" s="139" t="s">
        <v>120</v>
      </c>
      <c r="D11" s="115">
        <v>7</v>
      </c>
      <c r="E11" s="139">
        <v>10</v>
      </c>
      <c r="F11" s="139">
        <v>10</v>
      </c>
      <c r="G11" s="139">
        <v>10</v>
      </c>
      <c r="H11" s="139">
        <v>19</v>
      </c>
      <c r="I11" s="139">
        <v>8</v>
      </c>
    </row>
    <row r="12" spans="1:9" x14ac:dyDescent="0.2">
      <c r="A12" s="136"/>
      <c r="B12" s="136"/>
      <c r="C12" s="136" t="s">
        <v>123</v>
      </c>
      <c r="D12" s="136"/>
      <c r="E12" s="136"/>
      <c r="F12" s="136"/>
      <c r="G12" s="136"/>
      <c r="H12" s="136"/>
      <c r="I12" s="136">
        <v>1</v>
      </c>
    </row>
    <row r="13" spans="1:9" x14ac:dyDescent="0.2">
      <c r="A13" s="139"/>
      <c r="B13" s="139">
        <v>2</v>
      </c>
      <c r="C13" s="139" t="s">
        <v>121</v>
      </c>
      <c r="D13" s="139">
        <v>1</v>
      </c>
      <c r="E13" s="139">
        <v>1</v>
      </c>
      <c r="F13" s="139">
        <v>1</v>
      </c>
      <c r="G13" s="139"/>
      <c r="H13" s="139">
        <v>3</v>
      </c>
      <c r="I13" s="139">
        <v>3</v>
      </c>
    </row>
    <row r="14" spans="1:9" x14ac:dyDescent="0.2">
      <c r="A14" s="136"/>
      <c r="B14" s="136"/>
      <c r="C14" s="136" t="s">
        <v>118</v>
      </c>
      <c r="D14" s="136">
        <v>4</v>
      </c>
      <c r="E14" s="136">
        <v>21</v>
      </c>
      <c r="F14" s="136">
        <v>22</v>
      </c>
      <c r="G14" s="136">
        <v>21</v>
      </c>
      <c r="H14" s="136">
        <v>27</v>
      </c>
      <c r="I14" s="136">
        <v>18</v>
      </c>
    </row>
    <row r="15" spans="1:9" x14ac:dyDescent="0.2">
      <c r="A15" s="139"/>
      <c r="B15" s="139"/>
      <c r="C15" s="139" t="s">
        <v>117</v>
      </c>
      <c r="D15" s="139">
        <v>1</v>
      </c>
      <c r="E15" s="139">
        <v>3</v>
      </c>
      <c r="F15" s="139">
        <v>3</v>
      </c>
      <c r="G15" s="139">
        <v>6</v>
      </c>
      <c r="H15" s="139">
        <v>1</v>
      </c>
      <c r="I15" s="139">
        <v>6</v>
      </c>
    </row>
    <row r="16" spans="1:9" x14ac:dyDescent="0.2">
      <c r="A16" s="136"/>
      <c r="B16" s="136"/>
      <c r="C16" s="136" t="s">
        <v>115</v>
      </c>
      <c r="D16" s="136">
        <v>34</v>
      </c>
      <c r="E16" s="136">
        <v>42</v>
      </c>
      <c r="F16" s="136">
        <v>38</v>
      </c>
      <c r="G16" s="136">
        <v>32</v>
      </c>
      <c r="H16" s="136">
        <v>32</v>
      </c>
      <c r="I16" s="136">
        <v>27</v>
      </c>
    </row>
    <row r="17" spans="1:9" x14ac:dyDescent="0.2">
      <c r="A17" s="139"/>
      <c r="B17" s="139"/>
      <c r="C17" s="139" t="s">
        <v>120</v>
      </c>
      <c r="D17" s="139">
        <v>7</v>
      </c>
      <c r="E17" s="139">
        <v>11</v>
      </c>
      <c r="F17" s="139">
        <v>18</v>
      </c>
      <c r="G17" s="139">
        <v>21</v>
      </c>
      <c r="H17" s="139">
        <v>10</v>
      </c>
      <c r="I17" s="139">
        <v>13</v>
      </c>
    </row>
    <row r="18" spans="1:9" x14ac:dyDescent="0.2">
      <c r="A18" s="136"/>
      <c r="B18" s="136">
        <v>2.5</v>
      </c>
      <c r="C18" s="136" t="s">
        <v>116</v>
      </c>
      <c r="D18" s="136">
        <v>9</v>
      </c>
      <c r="E18" s="136">
        <v>11</v>
      </c>
      <c r="F18" s="136">
        <v>16</v>
      </c>
      <c r="G18" s="136">
        <v>3</v>
      </c>
      <c r="H18" s="136">
        <v>7</v>
      </c>
      <c r="I18" s="136">
        <v>19</v>
      </c>
    </row>
    <row r="19" spans="1:9" x14ac:dyDescent="0.2">
      <c r="A19" s="139"/>
      <c r="B19" s="139"/>
      <c r="C19" s="139" t="s">
        <v>117</v>
      </c>
      <c r="D19" s="139">
        <v>16</v>
      </c>
      <c r="E19" s="139">
        <v>22</v>
      </c>
      <c r="F19" s="139">
        <v>14</v>
      </c>
      <c r="G19" s="139">
        <v>14</v>
      </c>
      <c r="H19" s="139">
        <v>33</v>
      </c>
      <c r="I19" s="139">
        <v>22</v>
      </c>
    </row>
    <row r="20" spans="1:9" x14ac:dyDescent="0.2">
      <c r="A20" s="136" t="s">
        <v>194</v>
      </c>
      <c r="B20" s="136">
        <v>2</v>
      </c>
      <c r="C20" s="136" t="s">
        <v>117</v>
      </c>
      <c r="D20" s="136"/>
      <c r="E20" s="136"/>
      <c r="F20" s="136"/>
      <c r="G20" s="136"/>
      <c r="H20" s="136">
        <v>22</v>
      </c>
      <c r="I20" s="136">
        <v>6</v>
      </c>
    </row>
    <row r="21" spans="1:9" x14ac:dyDescent="0.2">
      <c r="A21" s="139" t="s">
        <v>107</v>
      </c>
      <c r="B21" s="139">
        <v>1</v>
      </c>
      <c r="C21" s="139" t="s">
        <v>113</v>
      </c>
      <c r="D21" s="139"/>
      <c r="E21" s="139"/>
      <c r="F21" s="139"/>
      <c r="G21" s="139"/>
      <c r="H21" s="139">
        <v>6</v>
      </c>
      <c r="I21" s="139">
        <v>5</v>
      </c>
    </row>
    <row r="22" spans="1:9" x14ac:dyDescent="0.2">
      <c r="A22" s="136"/>
      <c r="B22" s="136"/>
      <c r="C22" s="136" t="s">
        <v>119</v>
      </c>
      <c r="D22" s="136">
        <v>5</v>
      </c>
      <c r="E22" s="136">
        <v>11</v>
      </c>
      <c r="F22" s="136">
        <v>13</v>
      </c>
      <c r="G22" s="136">
        <v>9</v>
      </c>
      <c r="H22" s="136"/>
      <c r="I22" s="136"/>
    </row>
    <row r="23" spans="1:9" x14ac:dyDescent="0.2">
      <c r="A23" s="139"/>
      <c r="B23" s="139"/>
      <c r="C23" s="139" t="s">
        <v>122</v>
      </c>
      <c r="D23" s="139">
        <v>9</v>
      </c>
      <c r="E23" s="139">
        <v>2</v>
      </c>
      <c r="F23" s="139">
        <v>4</v>
      </c>
      <c r="G23" s="139">
        <v>1</v>
      </c>
      <c r="H23" s="139"/>
      <c r="I23" s="139"/>
    </row>
    <row r="24" spans="1:9" x14ac:dyDescent="0.2">
      <c r="A24" s="136"/>
      <c r="B24" s="136">
        <v>2</v>
      </c>
      <c r="C24" s="136" t="s">
        <v>121</v>
      </c>
      <c r="D24" s="136">
        <v>8</v>
      </c>
      <c r="E24" s="136">
        <v>5</v>
      </c>
      <c r="F24" s="136">
        <v>6</v>
      </c>
      <c r="G24" s="136">
        <v>9</v>
      </c>
      <c r="H24" s="136"/>
      <c r="I24" s="136"/>
    </row>
    <row r="25" spans="1:9" x14ac:dyDescent="0.2">
      <c r="A25" s="139"/>
      <c r="B25" s="139"/>
      <c r="C25" s="139" t="s">
        <v>118</v>
      </c>
      <c r="D25" s="139">
        <v>1</v>
      </c>
      <c r="E25" s="139">
        <v>1</v>
      </c>
      <c r="F25" s="139">
        <v>2</v>
      </c>
      <c r="G25" s="139">
        <v>2</v>
      </c>
      <c r="H25" s="139"/>
      <c r="I25" s="139"/>
    </row>
    <row r="26" spans="1:9" x14ac:dyDescent="0.2">
      <c r="A26" s="136"/>
      <c r="B26" s="136"/>
      <c r="C26" s="136" t="s">
        <v>113</v>
      </c>
      <c r="D26" s="136">
        <v>1</v>
      </c>
      <c r="E26" s="136">
        <v>5</v>
      </c>
      <c r="F26" s="136">
        <v>3</v>
      </c>
      <c r="G26" s="136">
        <v>5</v>
      </c>
      <c r="H26" s="136">
        <v>8</v>
      </c>
      <c r="I26" s="136">
        <v>15</v>
      </c>
    </row>
    <row r="27" spans="1:9" x14ac:dyDescent="0.2">
      <c r="A27" s="139"/>
      <c r="B27" s="139"/>
      <c r="C27" s="139" t="s">
        <v>119</v>
      </c>
      <c r="D27" s="139">
        <v>1</v>
      </c>
      <c r="E27" s="139"/>
      <c r="F27" s="139">
        <v>1</v>
      </c>
      <c r="G27" s="139">
        <v>1</v>
      </c>
      <c r="H27" s="139"/>
      <c r="I27" s="139"/>
    </row>
    <row r="28" spans="1:9" x14ac:dyDescent="0.2">
      <c r="A28" s="136"/>
      <c r="B28" s="136"/>
      <c r="C28" s="136" t="s">
        <v>122</v>
      </c>
      <c r="D28" s="136">
        <v>1</v>
      </c>
      <c r="E28" s="136">
        <v>1</v>
      </c>
      <c r="F28" s="136">
        <v>1</v>
      </c>
      <c r="G28" s="136">
        <v>2</v>
      </c>
      <c r="H28" s="136"/>
      <c r="I28" s="136"/>
    </row>
    <row r="29" spans="1:9" x14ac:dyDescent="0.2">
      <c r="A29" s="139"/>
      <c r="B29" s="139">
        <v>2.5</v>
      </c>
      <c r="C29" s="139" t="s">
        <v>121</v>
      </c>
      <c r="D29" s="139"/>
      <c r="E29" s="139">
        <v>1</v>
      </c>
      <c r="F29" s="139">
        <v>1</v>
      </c>
      <c r="G29" s="139">
        <v>4</v>
      </c>
      <c r="H29" s="139"/>
      <c r="I29" s="139"/>
    </row>
    <row r="30" spans="1:9" x14ac:dyDescent="0.2">
      <c r="A30" s="136"/>
      <c r="B30" s="136"/>
      <c r="C30" s="136" t="s">
        <v>114</v>
      </c>
      <c r="D30" s="136"/>
      <c r="E30" s="136">
        <v>2</v>
      </c>
      <c r="F30" s="136">
        <v>1</v>
      </c>
      <c r="G30" s="136">
        <v>3</v>
      </c>
      <c r="H30" s="136"/>
      <c r="I30" s="136"/>
    </row>
    <row r="31" spans="1:9" x14ac:dyDescent="0.2">
      <c r="A31" s="139"/>
      <c r="B31" s="139"/>
      <c r="C31" s="139" t="s">
        <v>113</v>
      </c>
      <c r="D31" s="139">
        <v>5</v>
      </c>
      <c r="E31" s="139">
        <v>3</v>
      </c>
      <c r="F31" s="139">
        <v>4</v>
      </c>
      <c r="G31" s="139">
        <v>6</v>
      </c>
      <c r="H31" s="139">
        <v>11</v>
      </c>
      <c r="I31" s="139">
        <v>14</v>
      </c>
    </row>
    <row r="32" spans="1:9" x14ac:dyDescent="0.2">
      <c r="A32" s="136"/>
      <c r="B32" s="136"/>
      <c r="C32" s="136" t="s">
        <v>119</v>
      </c>
      <c r="D32" s="136">
        <v>4</v>
      </c>
      <c r="E32" s="136">
        <v>2</v>
      </c>
      <c r="F32" s="136"/>
      <c r="G32" s="136">
        <v>3</v>
      </c>
      <c r="H32" s="136"/>
      <c r="I32" s="136"/>
    </row>
    <row r="33" spans="1:9" x14ac:dyDescent="0.2">
      <c r="A33" s="139" t="s">
        <v>102</v>
      </c>
      <c r="B33" s="139">
        <v>1</v>
      </c>
      <c r="C33" s="139" t="s">
        <v>121</v>
      </c>
      <c r="D33" s="139">
        <v>4</v>
      </c>
      <c r="E33" s="139">
        <v>1</v>
      </c>
      <c r="F33" s="139">
        <v>4</v>
      </c>
      <c r="G33" s="139">
        <v>4</v>
      </c>
      <c r="H33" s="139">
        <v>2</v>
      </c>
      <c r="I33" s="139">
        <v>1</v>
      </c>
    </row>
    <row r="34" spans="1:9" x14ac:dyDescent="0.2">
      <c r="A34" s="136"/>
      <c r="B34" s="136"/>
      <c r="C34" s="136" t="s">
        <v>116</v>
      </c>
      <c r="D34" s="136">
        <v>2</v>
      </c>
      <c r="E34" s="136">
        <v>2</v>
      </c>
      <c r="F34" s="136">
        <v>1</v>
      </c>
      <c r="G34" s="136">
        <v>2</v>
      </c>
      <c r="H34" s="136">
        <v>2</v>
      </c>
      <c r="I34" s="136">
        <v>1</v>
      </c>
    </row>
    <row r="35" spans="1:9" x14ac:dyDescent="0.2">
      <c r="A35" s="139"/>
      <c r="B35" s="139"/>
      <c r="C35" s="139" t="s">
        <v>60</v>
      </c>
      <c r="D35" s="139">
        <v>7</v>
      </c>
      <c r="E35" s="139">
        <v>18</v>
      </c>
      <c r="F35" s="139">
        <v>14</v>
      </c>
      <c r="G35" s="139">
        <v>18</v>
      </c>
      <c r="H35" s="139">
        <v>29</v>
      </c>
      <c r="I35" s="139">
        <v>20</v>
      </c>
    </row>
    <row r="36" spans="1:9" x14ac:dyDescent="0.2">
      <c r="A36" s="136"/>
      <c r="B36" s="136"/>
      <c r="C36" s="136" t="s">
        <v>119</v>
      </c>
      <c r="D36" s="136">
        <v>12</v>
      </c>
      <c r="E36" s="136">
        <v>5</v>
      </c>
      <c r="F36" s="136">
        <v>12</v>
      </c>
      <c r="G36" s="136">
        <v>10</v>
      </c>
      <c r="H36" s="136">
        <v>15</v>
      </c>
      <c r="I36" s="136">
        <v>12</v>
      </c>
    </row>
    <row r="37" spans="1:9" x14ac:dyDescent="0.2">
      <c r="A37" s="139"/>
      <c r="B37" s="139"/>
      <c r="C37" s="139" t="s">
        <v>122</v>
      </c>
      <c r="D37" s="139">
        <v>32</v>
      </c>
      <c r="E37" s="139">
        <v>42</v>
      </c>
      <c r="F37" s="139">
        <v>50</v>
      </c>
      <c r="G37" s="139">
        <v>47</v>
      </c>
      <c r="H37" s="139">
        <v>24</v>
      </c>
      <c r="I37" s="139">
        <v>32</v>
      </c>
    </row>
    <row r="38" spans="1:9" x14ac:dyDescent="0.2">
      <c r="A38" s="136"/>
      <c r="B38" s="136"/>
      <c r="C38" s="136" t="s">
        <v>115</v>
      </c>
      <c r="D38" s="136">
        <v>1</v>
      </c>
      <c r="E38" s="136">
        <v>4</v>
      </c>
      <c r="F38" s="136">
        <v>4</v>
      </c>
      <c r="G38" s="136">
        <v>2</v>
      </c>
      <c r="H38" s="136">
        <v>5</v>
      </c>
      <c r="I38" s="136">
        <v>3</v>
      </c>
    </row>
    <row r="39" spans="1:9" x14ac:dyDescent="0.2">
      <c r="A39" s="139"/>
      <c r="B39" s="139">
        <v>2</v>
      </c>
      <c r="C39" s="139" t="s">
        <v>121</v>
      </c>
      <c r="D39" s="139">
        <v>26</v>
      </c>
      <c r="E39" s="139">
        <v>25</v>
      </c>
      <c r="F39" s="139">
        <v>25</v>
      </c>
      <c r="G39" s="139">
        <v>25</v>
      </c>
      <c r="H39" s="139">
        <v>34</v>
      </c>
      <c r="I39" s="139">
        <v>22</v>
      </c>
    </row>
    <row r="40" spans="1:9" x14ac:dyDescent="0.2">
      <c r="A40" s="136"/>
      <c r="B40" s="136"/>
      <c r="C40" s="136" t="s">
        <v>118</v>
      </c>
      <c r="D40" s="136">
        <v>1</v>
      </c>
      <c r="E40" s="136">
        <v>5</v>
      </c>
      <c r="F40" s="136">
        <v>8</v>
      </c>
      <c r="G40" s="136">
        <v>4</v>
      </c>
      <c r="H40" s="136">
        <v>3</v>
      </c>
      <c r="I40" s="136">
        <v>4</v>
      </c>
    </row>
    <row r="41" spans="1:9" x14ac:dyDescent="0.2">
      <c r="A41" s="139"/>
      <c r="B41" s="139"/>
      <c r="C41" s="139" t="s">
        <v>117</v>
      </c>
      <c r="D41" s="139">
        <v>3</v>
      </c>
      <c r="E41" s="139">
        <v>8</v>
      </c>
      <c r="F41" s="139">
        <v>15</v>
      </c>
      <c r="G41" s="139">
        <v>19</v>
      </c>
      <c r="H41" s="139">
        <v>27</v>
      </c>
      <c r="I41" s="139">
        <v>25</v>
      </c>
    </row>
    <row r="42" spans="1:9" x14ac:dyDescent="0.2">
      <c r="A42" s="136"/>
      <c r="B42" s="136"/>
      <c r="C42" s="136" t="s">
        <v>122</v>
      </c>
      <c r="D42" s="136">
        <v>23</v>
      </c>
      <c r="E42" s="136">
        <v>28</v>
      </c>
      <c r="F42" s="136">
        <v>35</v>
      </c>
      <c r="G42" s="136">
        <v>35</v>
      </c>
      <c r="H42" s="136">
        <v>20</v>
      </c>
      <c r="I42" s="136">
        <v>43</v>
      </c>
    </row>
    <row r="43" spans="1:9" x14ac:dyDescent="0.2">
      <c r="A43" s="139"/>
      <c r="B43" s="139"/>
      <c r="C43" s="139" t="s">
        <v>115</v>
      </c>
      <c r="D43" s="139">
        <v>46</v>
      </c>
      <c r="E43" s="139">
        <v>30</v>
      </c>
      <c r="F43" s="139">
        <v>28</v>
      </c>
      <c r="G43" s="139">
        <v>44</v>
      </c>
      <c r="H43" s="139">
        <v>47</v>
      </c>
      <c r="I43" s="139">
        <v>27</v>
      </c>
    </row>
    <row r="44" spans="1:9" x14ac:dyDescent="0.2">
      <c r="A44" s="136"/>
      <c r="B44" s="136">
        <v>2.5</v>
      </c>
      <c r="C44" s="136" t="s">
        <v>121</v>
      </c>
      <c r="D44" s="136">
        <v>1</v>
      </c>
      <c r="E44" s="136">
        <v>3</v>
      </c>
      <c r="F44" s="136">
        <v>7</v>
      </c>
      <c r="G44" s="136">
        <v>4</v>
      </c>
      <c r="H44" s="136">
        <v>4</v>
      </c>
      <c r="I44" s="136">
        <v>3</v>
      </c>
    </row>
    <row r="45" spans="1:9" x14ac:dyDescent="0.2">
      <c r="A45" s="139"/>
      <c r="B45" s="139"/>
      <c r="C45" s="139" t="s">
        <v>116</v>
      </c>
      <c r="D45" s="139">
        <v>20</v>
      </c>
      <c r="E45" s="139">
        <v>26</v>
      </c>
      <c r="F45" s="139">
        <v>27</v>
      </c>
      <c r="G45" s="139">
        <v>24</v>
      </c>
      <c r="H45" s="139">
        <v>19</v>
      </c>
      <c r="I45" s="139">
        <v>15</v>
      </c>
    </row>
    <row r="46" spans="1:9" x14ac:dyDescent="0.2">
      <c r="A46" s="136"/>
      <c r="B46" s="136"/>
      <c r="C46" s="136" t="s">
        <v>114</v>
      </c>
      <c r="D46" s="136">
        <v>2</v>
      </c>
      <c r="E46" s="136">
        <v>3</v>
      </c>
      <c r="F46" s="136">
        <v>5</v>
      </c>
      <c r="G46" s="136">
        <v>2</v>
      </c>
      <c r="H46" s="136">
        <v>2</v>
      </c>
      <c r="I46" s="136">
        <v>6</v>
      </c>
    </row>
    <row r="47" spans="1:9" x14ac:dyDescent="0.2">
      <c r="A47" s="139"/>
      <c r="B47" s="139"/>
      <c r="C47" s="139" t="s">
        <v>113</v>
      </c>
      <c r="D47" s="139">
        <v>11</v>
      </c>
      <c r="E47" s="139">
        <v>15</v>
      </c>
      <c r="F47" s="139">
        <v>21</v>
      </c>
      <c r="G47" s="139">
        <v>16</v>
      </c>
      <c r="H47" s="139">
        <v>23</v>
      </c>
      <c r="I47" s="139">
        <v>13</v>
      </c>
    </row>
    <row r="48" spans="1:9" x14ac:dyDescent="0.2">
      <c r="A48" s="136"/>
      <c r="B48" s="136"/>
      <c r="C48" s="136" t="s">
        <v>117</v>
      </c>
      <c r="D48" s="136">
        <v>2</v>
      </c>
      <c r="E48" s="136">
        <v>3</v>
      </c>
      <c r="F48" s="136">
        <v>3</v>
      </c>
      <c r="G48" s="136">
        <v>7</v>
      </c>
      <c r="H48" s="136">
        <v>5</v>
      </c>
      <c r="I48" s="136">
        <v>9</v>
      </c>
    </row>
    <row r="49" spans="1:9" x14ac:dyDescent="0.2">
      <c r="A49" s="139" t="s">
        <v>110</v>
      </c>
      <c r="B49" s="139">
        <v>1</v>
      </c>
      <c r="C49" s="139" t="s">
        <v>119</v>
      </c>
      <c r="D49" s="139"/>
      <c r="E49" s="139"/>
      <c r="F49" s="139"/>
      <c r="G49" s="139"/>
      <c r="H49" s="139">
        <v>4</v>
      </c>
      <c r="I49" s="139">
        <v>5</v>
      </c>
    </row>
    <row r="50" spans="1:9" x14ac:dyDescent="0.2">
      <c r="A50" s="136"/>
      <c r="B50" s="136">
        <v>2</v>
      </c>
      <c r="C50" s="136" t="s">
        <v>117</v>
      </c>
      <c r="D50" s="136">
        <v>2</v>
      </c>
      <c r="E50" s="136">
        <v>2</v>
      </c>
      <c r="F50" s="136">
        <v>2</v>
      </c>
      <c r="G50" s="136">
        <v>3</v>
      </c>
      <c r="H50" s="136">
        <v>4</v>
      </c>
      <c r="I50" s="136">
        <v>1</v>
      </c>
    </row>
    <row r="51" spans="1:9" x14ac:dyDescent="0.2">
      <c r="A51" s="139"/>
      <c r="B51" s="139"/>
      <c r="C51" s="139" t="s">
        <v>115</v>
      </c>
      <c r="D51" s="139">
        <v>6</v>
      </c>
      <c r="E51" s="139">
        <v>20</v>
      </c>
      <c r="F51" s="139">
        <v>9</v>
      </c>
      <c r="G51" s="139">
        <v>6</v>
      </c>
      <c r="H51" s="139">
        <v>9</v>
      </c>
      <c r="I51" s="139"/>
    </row>
    <row r="52" spans="1:9" x14ac:dyDescent="0.2">
      <c r="A52" s="136"/>
      <c r="B52" s="136" t="s">
        <v>125</v>
      </c>
      <c r="C52" s="136" t="s">
        <v>117</v>
      </c>
      <c r="D52" s="136"/>
      <c r="E52" s="136">
        <v>1</v>
      </c>
      <c r="F52" s="136"/>
      <c r="G52" s="136">
        <v>1</v>
      </c>
      <c r="H52" s="136"/>
      <c r="I52" s="136"/>
    </row>
    <row r="53" spans="1:9" x14ac:dyDescent="0.2">
      <c r="A53" s="139" t="s">
        <v>141</v>
      </c>
      <c r="B53" s="139">
        <v>1</v>
      </c>
      <c r="C53" s="139" t="s">
        <v>122</v>
      </c>
      <c r="D53" s="139">
        <v>11</v>
      </c>
      <c r="E53" s="139">
        <v>3</v>
      </c>
      <c r="F53" s="139">
        <v>13</v>
      </c>
      <c r="G53" s="139">
        <v>19</v>
      </c>
      <c r="H53" s="139">
        <v>25</v>
      </c>
      <c r="I53" s="139">
        <v>9</v>
      </c>
    </row>
    <row r="54" spans="1:9" x14ac:dyDescent="0.2">
      <c r="A54" s="136" t="s">
        <v>36</v>
      </c>
      <c r="B54" s="136">
        <v>1</v>
      </c>
      <c r="C54" s="136" t="s">
        <v>121</v>
      </c>
      <c r="D54" s="136">
        <v>9</v>
      </c>
      <c r="E54" s="136">
        <v>17</v>
      </c>
      <c r="F54" s="136">
        <v>11</v>
      </c>
      <c r="G54" s="136">
        <v>16</v>
      </c>
      <c r="H54" s="136">
        <v>7</v>
      </c>
      <c r="I54" s="136">
        <v>9</v>
      </c>
    </row>
    <row r="55" spans="1:9" x14ac:dyDescent="0.2">
      <c r="A55" s="139"/>
      <c r="B55" s="139"/>
      <c r="C55" s="139" t="s">
        <v>60</v>
      </c>
      <c r="D55" s="139">
        <v>10</v>
      </c>
      <c r="E55" s="139">
        <v>20</v>
      </c>
      <c r="F55" s="139">
        <v>28</v>
      </c>
      <c r="G55" s="139">
        <v>57</v>
      </c>
      <c r="H55" s="139">
        <v>41</v>
      </c>
      <c r="I55" s="139">
        <v>32</v>
      </c>
    </row>
    <row r="56" spans="1:9" x14ac:dyDescent="0.2">
      <c r="A56" s="136"/>
      <c r="B56" s="136"/>
      <c r="C56" s="136" t="s">
        <v>119</v>
      </c>
      <c r="D56" s="136">
        <v>47</v>
      </c>
      <c r="E56" s="136">
        <v>44</v>
      </c>
      <c r="F56" s="136">
        <v>29</v>
      </c>
      <c r="G56" s="136">
        <v>21</v>
      </c>
      <c r="H56" s="136">
        <v>44</v>
      </c>
      <c r="I56" s="136">
        <v>24</v>
      </c>
    </row>
    <row r="57" spans="1:9" x14ac:dyDescent="0.2">
      <c r="A57" s="139"/>
      <c r="B57" s="139"/>
      <c r="C57" s="139" t="s">
        <v>122</v>
      </c>
      <c r="D57" s="139">
        <v>79</v>
      </c>
      <c r="E57" s="139">
        <v>85</v>
      </c>
      <c r="F57" s="139">
        <v>103</v>
      </c>
      <c r="G57" s="139">
        <v>113</v>
      </c>
      <c r="H57" s="139">
        <v>95</v>
      </c>
      <c r="I57" s="139">
        <v>99</v>
      </c>
    </row>
    <row r="58" spans="1:9" x14ac:dyDescent="0.2">
      <c r="A58" s="136"/>
      <c r="B58" s="136"/>
      <c r="C58" s="136" t="s">
        <v>115</v>
      </c>
      <c r="D58" s="136">
        <v>16</v>
      </c>
      <c r="E58" s="136">
        <v>17</v>
      </c>
      <c r="F58" s="136">
        <v>14</v>
      </c>
      <c r="G58" s="136">
        <v>23</v>
      </c>
      <c r="H58" s="136">
        <v>18</v>
      </c>
      <c r="I58" s="136">
        <v>19</v>
      </c>
    </row>
    <row r="59" spans="1:9" x14ac:dyDescent="0.2">
      <c r="A59" s="139"/>
      <c r="B59" s="139">
        <v>2</v>
      </c>
      <c r="C59" s="139" t="s">
        <v>121</v>
      </c>
      <c r="D59" s="139">
        <v>107</v>
      </c>
      <c r="E59" s="139">
        <v>135</v>
      </c>
      <c r="F59" s="139">
        <v>133</v>
      </c>
      <c r="G59" s="139">
        <v>121</v>
      </c>
      <c r="H59" s="139">
        <v>117</v>
      </c>
      <c r="I59" s="139">
        <v>110</v>
      </c>
    </row>
    <row r="60" spans="1:9" x14ac:dyDescent="0.2">
      <c r="A60" s="136"/>
      <c r="B60" s="136"/>
      <c r="C60" s="136" t="s">
        <v>118</v>
      </c>
      <c r="D60" s="136">
        <v>36</v>
      </c>
      <c r="E60" s="136">
        <v>42</v>
      </c>
      <c r="F60" s="136">
        <v>31</v>
      </c>
      <c r="G60" s="136">
        <v>23</v>
      </c>
      <c r="H60" s="136">
        <v>22</v>
      </c>
      <c r="I60" s="136">
        <v>16</v>
      </c>
    </row>
    <row r="61" spans="1:9" x14ac:dyDescent="0.2">
      <c r="A61" s="139"/>
      <c r="B61" s="139"/>
      <c r="C61" s="139" t="s">
        <v>113</v>
      </c>
      <c r="D61" s="139">
        <v>6</v>
      </c>
      <c r="E61" s="139">
        <v>14</v>
      </c>
      <c r="F61" s="139">
        <v>13</v>
      </c>
      <c r="G61" s="139">
        <v>9</v>
      </c>
      <c r="H61" s="139">
        <v>8</v>
      </c>
      <c r="I61" s="139">
        <v>6</v>
      </c>
    </row>
    <row r="62" spans="1:9" x14ac:dyDescent="0.2">
      <c r="A62" s="136"/>
      <c r="B62" s="136"/>
      <c r="C62" s="136" t="s">
        <v>117</v>
      </c>
      <c r="D62" s="136">
        <v>11</v>
      </c>
      <c r="E62" s="136">
        <v>19</v>
      </c>
      <c r="F62" s="136">
        <v>13</v>
      </c>
      <c r="G62" s="136">
        <v>32</v>
      </c>
      <c r="H62" s="136">
        <v>11</v>
      </c>
      <c r="I62" s="136">
        <v>18</v>
      </c>
    </row>
    <row r="63" spans="1:9" x14ac:dyDescent="0.2">
      <c r="A63" s="139"/>
      <c r="B63" s="139"/>
      <c r="C63" s="139" t="s">
        <v>60</v>
      </c>
      <c r="D63" s="139"/>
      <c r="E63" s="139">
        <v>1</v>
      </c>
      <c r="F63" s="139"/>
      <c r="G63" s="139">
        <v>2</v>
      </c>
      <c r="H63" s="139"/>
      <c r="I63" s="139">
        <v>1</v>
      </c>
    </row>
    <row r="64" spans="1:9" x14ac:dyDescent="0.2">
      <c r="A64" s="136"/>
      <c r="B64" s="136"/>
      <c r="C64" s="136" t="s">
        <v>122</v>
      </c>
      <c r="D64" s="136">
        <v>52</v>
      </c>
      <c r="E64" s="136">
        <v>42</v>
      </c>
      <c r="F64" s="136">
        <v>42</v>
      </c>
      <c r="G64" s="136">
        <v>49</v>
      </c>
      <c r="H64" s="136">
        <v>44</v>
      </c>
      <c r="I64" s="136">
        <v>41</v>
      </c>
    </row>
    <row r="65" spans="1:9" x14ac:dyDescent="0.2">
      <c r="A65" s="139"/>
      <c r="B65" s="139"/>
      <c r="C65" s="139" t="s">
        <v>115</v>
      </c>
      <c r="D65" s="139">
        <v>118</v>
      </c>
      <c r="E65" s="139">
        <v>118</v>
      </c>
      <c r="F65" s="139">
        <v>137</v>
      </c>
      <c r="G65" s="139">
        <v>151</v>
      </c>
      <c r="H65" s="139">
        <v>73</v>
      </c>
      <c r="I65" s="139">
        <v>143</v>
      </c>
    </row>
    <row r="66" spans="1:9" x14ac:dyDescent="0.2">
      <c r="A66" s="136"/>
      <c r="B66" s="136">
        <v>2.5</v>
      </c>
      <c r="C66" s="136" t="s">
        <v>121</v>
      </c>
      <c r="D66" s="136">
        <v>35</v>
      </c>
      <c r="E66" s="136">
        <v>29</v>
      </c>
      <c r="F66" s="136">
        <v>28</v>
      </c>
      <c r="G66" s="136">
        <v>25</v>
      </c>
      <c r="H66" s="136">
        <v>37</v>
      </c>
      <c r="I66" s="136">
        <v>34</v>
      </c>
    </row>
    <row r="67" spans="1:9" x14ac:dyDescent="0.2">
      <c r="A67" s="139"/>
      <c r="B67" s="139"/>
      <c r="C67" s="139" t="s">
        <v>118</v>
      </c>
      <c r="D67" s="139">
        <v>2</v>
      </c>
      <c r="E67" s="139">
        <v>7</v>
      </c>
      <c r="F67" s="139">
        <v>2</v>
      </c>
      <c r="G67" s="139">
        <v>5</v>
      </c>
      <c r="H67" s="139">
        <v>6</v>
      </c>
      <c r="I67" s="139">
        <v>9</v>
      </c>
    </row>
    <row r="68" spans="1:9" x14ac:dyDescent="0.2">
      <c r="A68" s="136"/>
      <c r="B68" s="136"/>
      <c r="C68" s="136" t="s">
        <v>116</v>
      </c>
      <c r="D68" s="136">
        <v>65</v>
      </c>
      <c r="E68" s="136">
        <v>70</v>
      </c>
      <c r="F68" s="136">
        <v>59</v>
      </c>
      <c r="G68" s="136">
        <v>71</v>
      </c>
      <c r="H68" s="136">
        <v>43</v>
      </c>
      <c r="I68" s="136">
        <v>57</v>
      </c>
    </row>
    <row r="69" spans="1:9" x14ac:dyDescent="0.2">
      <c r="A69" s="139"/>
      <c r="B69" s="139"/>
      <c r="C69" s="139" t="s">
        <v>114</v>
      </c>
      <c r="D69" s="139">
        <v>32</v>
      </c>
      <c r="E69" s="139">
        <v>110</v>
      </c>
      <c r="F69" s="139">
        <v>119</v>
      </c>
      <c r="G69" s="139">
        <v>89</v>
      </c>
      <c r="H69" s="139">
        <v>87</v>
      </c>
      <c r="I69" s="139">
        <v>87</v>
      </c>
    </row>
    <row r="70" spans="1:9" x14ac:dyDescent="0.2">
      <c r="A70" s="136"/>
      <c r="B70" s="136"/>
      <c r="C70" s="136" t="s">
        <v>113</v>
      </c>
      <c r="D70" s="136">
        <v>4</v>
      </c>
      <c r="E70" s="136">
        <v>1</v>
      </c>
      <c r="F70" s="136">
        <v>1</v>
      </c>
      <c r="G70" s="136">
        <v>4</v>
      </c>
      <c r="H70" s="136"/>
      <c r="I70" s="136"/>
    </row>
    <row r="71" spans="1:9" x14ac:dyDescent="0.2">
      <c r="A71" s="139"/>
      <c r="B71" s="139"/>
      <c r="C71" s="139" t="s">
        <v>117</v>
      </c>
      <c r="D71" s="139">
        <v>65</v>
      </c>
      <c r="E71" s="139">
        <v>69</v>
      </c>
      <c r="F71" s="139">
        <v>91</v>
      </c>
      <c r="G71" s="139">
        <v>111</v>
      </c>
      <c r="H71" s="139">
        <v>79</v>
      </c>
      <c r="I71" s="139">
        <v>98</v>
      </c>
    </row>
    <row r="72" spans="1:9" x14ac:dyDescent="0.2">
      <c r="A72" s="136"/>
      <c r="B72" s="136"/>
      <c r="C72" s="136" t="s">
        <v>122</v>
      </c>
      <c r="D72" s="136"/>
      <c r="E72" s="136"/>
      <c r="F72" s="136">
        <v>6</v>
      </c>
      <c r="G72" s="136">
        <v>6</v>
      </c>
      <c r="H72" s="136">
        <v>5</v>
      </c>
      <c r="I72" s="136">
        <v>15</v>
      </c>
    </row>
    <row r="73" spans="1:9" x14ac:dyDescent="0.2">
      <c r="A73" s="139" t="s">
        <v>108</v>
      </c>
      <c r="B73" s="139">
        <v>1</v>
      </c>
      <c r="C73" s="139" t="s">
        <v>60</v>
      </c>
      <c r="D73" s="139">
        <v>11</v>
      </c>
      <c r="E73" s="139">
        <v>13</v>
      </c>
      <c r="F73" s="139">
        <v>15</v>
      </c>
      <c r="G73" s="139">
        <v>16</v>
      </c>
      <c r="H73" s="139">
        <v>11</v>
      </c>
      <c r="I73" s="139">
        <v>13</v>
      </c>
    </row>
    <row r="74" spans="1:9" x14ac:dyDescent="0.2">
      <c r="A74" s="136"/>
      <c r="B74" s="136"/>
      <c r="C74" s="136" t="s">
        <v>119</v>
      </c>
      <c r="D74" s="136">
        <v>3</v>
      </c>
      <c r="E74" s="136">
        <v>8</v>
      </c>
      <c r="F74" s="136">
        <v>4</v>
      </c>
      <c r="G74" s="136">
        <v>6</v>
      </c>
      <c r="H74" s="136">
        <v>3</v>
      </c>
      <c r="I74" s="136">
        <v>5</v>
      </c>
    </row>
    <row r="75" spans="1:9" x14ac:dyDescent="0.2">
      <c r="A75" s="139"/>
      <c r="B75" s="139"/>
      <c r="C75" s="139" t="s">
        <v>122</v>
      </c>
      <c r="D75" s="139">
        <v>2</v>
      </c>
      <c r="E75" s="139">
        <v>1</v>
      </c>
      <c r="F75" s="139">
        <v>4</v>
      </c>
      <c r="G75" s="139">
        <v>4</v>
      </c>
      <c r="H75" s="139">
        <v>3</v>
      </c>
      <c r="I75" s="139">
        <v>4</v>
      </c>
    </row>
    <row r="76" spans="1:9" x14ac:dyDescent="0.2">
      <c r="A76" s="136"/>
      <c r="B76" s="136"/>
      <c r="C76" s="136" t="s">
        <v>115</v>
      </c>
      <c r="D76" s="136">
        <v>2</v>
      </c>
      <c r="E76" s="136"/>
      <c r="F76" s="136">
        <v>2</v>
      </c>
      <c r="G76" s="136">
        <v>4</v>
      </c>
      <c r="H76" s="136"/>
      <c r="I76" s="136">
        <v>2</v>
      </c>
    </row>
    <row r="77" spans="1:9" x14ac:dyDescent="0.2">
      <c r="A77" s="139"/>
      <c r="B77" s="139">
        <v>2</v>
      </c>
      <c r="C77" s="139" t="s">
        <v>118</v>
      </c>
      <c r="D77" s="139">
        <v>4</v>
      </c>
      <c r="E77" s="139">
        <v>10</v>
      </c>
      <c r="F77" s="139">
        <v>6</v>
      </c>
      <c r="G77" s="139">
        <v>6</v>
      </c>
      <c r="H77" s="139">
        <v>3</v>
      </c>
      <c r="I77" s="139">
        <v>3</v>
      </c>
    </row>
    <row r="78" spans="1:9" x14ac:dyDescent="0.2">
      <c r="A78" s="136"/>
      <c r="B78" s="136"/>
      <c r="C78" s="136" t="s">
        <v>117</v>
      </c>
      <c r="D78" s="136">
        <v>14</v>
      </c>
      <c r="E78" s="136">
        <v>21</v>
      </c>
      <c r="F78" s="136">
        <v>11</v>
      </c>
      <c r="G78" s="136">
        <v>19</v>
      </c>
      <c r="H78" s="136">
        <v>9</v>
      </c>
      <c r="I78" s="136">
        <v>20</v>
      </c>
    </row>
    <row r="79" spans="1:9" x14ac:dyDescent="0.2">
      <c r="A79" s="139"/>
      <c r="B79" s="139"/>
      <c r="C79" s="139" t="s">
        <v>115</v>
      </c>
      <c r="D79" s="139">
        <v>2</v>
      </c>
      <c r="E79" s="139">
        <v>5</v>
      </c>
      <c r="F79" s="139">
        <v>7</v>
      </c>
      <c r="G79" s="139">
        <v>6</v>
      </c>
      <c r="H79" s="139"/>
      <c r="I79" s="139">
        <v>3</v>
      </c>
    </row>
    <row r="80" spans="1:9" x14ac:dyDescent="0.2">
      <c r="A80" s="136"/>
      <c r="B80" s="136"/>
      <c r="C80" s="136" t="s">
        <v>120</v>
      </c>
      <c r="D80" s="136">
        <v>2</v>
      </c>
      <c r="E80" s="136">
        <v>1</v>
      </c>
      <c r="F80" s="136">
        <v>2</v>
      </c>
      <c r="G80" s="136">
        <v>2</v>
      </c>
      <c r="H80" s="136"/>
      <c r="I80" s="136"/>
    </row>
    <row r="81" spans="1:9" x14ac:dyDescent="0.2">
      <c r="A81" s="139"/>
      <c r="B81" s="139">
        <v>2.5</v>
      </c>
      <c r="C81" s="139" t="s">
        <v>114</v>
      </c>
      <c r="D81" s="139">
        <v>40</v>
      </c>
      <c r="E81" s="139">
        <v>37</v>
      </c>
      <c r="F81" s="139">
        <v>37</v>
      </c>
      <c r="G81" s="139">
        <v>51</v>
      </c>
      <c r="H81" s="139">
        <v>31</v>
      </c>
      <c r="I81" s="139">
        <v>54</v>
      </c>
    </row>
    <row r="82" spans="1:9" x14ac:dyDescent="0.2">
      <c r="A82" s="136" t="s">
        <v>103</v>
      </c>
      <c r="B82" s="136">
        <v>1</v>
      </c>
      <c r="C82" s="136" t="s">
        <v>121</v>
      </c>
      <c r="D82" s="136">
        <v>2</v>
      </c>
      <c r="E82" s="136">
        <v>3</v>
      </c>
      <c r="F82" s="136">
        <v>1</v>
      </c>
      <c r="G82" s="136">
        <v>4</v>
      </c>
      <c r="H82" s="136">
        <v>4</v>
      </c>
      <c r="I82" s="136">
        <v>3</v>
      </c>
    </row>
    <row r="83" spans="1:9" x14ac:dyDescent="0.2">
      <c r="A83" s="139"/>
      <c r="B83" s="139"/>
      <c r="C83" s="139" t="s">
        <v>118</v>
      </c>
      <c r="D83" s="139"/>
      <c r="E83" s="139"/>
      <c r="F83" s="139"/>
      <c r="G83" s="139"/>
      <c r="H83" s="139">
        <v>1</v>
      </c>
      <c r="I83" s="139"/>
    </row>
    <row r="84" spans="1:9" x14ac:dyDescent="0.2">
      <c r="A84" s="136"/>
      <c r="B84" s="136"/>
      <c r="C84" s="136" t="s">
        <v>60</v>
      </c>
      <c r="D84" s="136">
        <v>11</v>
      </c>
      <c r="E84" s="136">
        <v>12</v>
      </c>
      <c r="F84" s="136">
        <v>13</v>
      </c>
      <c r="G84" s="136">
        <v>10</v>
      </c>
      <c r="H84" s="136">
        <v>11</v>
      </c>
      <c r="I84" s="136">
        <v>12</v>
      </c>
    </row>
    <row r="85" spans="1:9" x14ac:dyDescent="0.2">
      <c r="A85" s="139"/>
      <c r="B85" s="139"/>
      <c r="C85" s="139" t="s">
        <v>119</v>
      </c>
      <c r="D85" s="139">
        <v>5</v>
      </c>
      <c r="E85" s="139">
        <v>4</v>
      </c>
      <c r="F85" s="139">
        <v>8</v>
      </c>
      <c r="G85" s="139">
        <v>2</v>
      </c>
      <c r="H85" s="139">
        <v>9</v>
      </c>
      <c r="I85" s="139">
        <v>23</v>
      </c>
    </row>
    <row r="86" spans="1:9" x14ac:dyDescent="0.2">
      <c r="A86" s="136"/>
      <c r="B86" s="136"/>
      <c r="C86" s="136" t="s">
        <v>122</v>
      </c>
      <c r="D86" s="136">
        <v>36</v>
      </c>
      <c r="E86" s="136">
        <v>30</v>
      </c>
      <c r="F86" s="136">
        <v>38</v>
      </c>
      <c r="G86" s="136">
        <v>43</v>
      </c>
      <c r="H86" s="136">
        <v>32</v>
      </c>
      <c r="I86" s="136">
        <v>30</v>
      </c>
    </row>
    <row r="87" spans="1:9" x14ac:dyDescent="0.2">
      <c r="A87" s="139"/>
      <c r="B87" s="139"/>
      <c r="C87" s="139" t="s">
        <v>115</v>
      </c>
      <c r="D87" s="139">
        <v>3</v>
      </c>
      <c r="E87" s="139"/>
      <c r="F87" s="139">
        <v>4</v>
      </c>
      <c r="G87" s="139"/>
      <c r="H87" s="139">
        <v>3</v>
      </c>
      <c r="I87" s="139">
        <v>2</v>
      </c>
    </row>
    <row r="88" spans="1:9" x14ac:dyDescent="0.2">
      <c r="A88" s="136"/>
      <c r="B88" s="136">
        <v>2</v>
      </c>
      <c r="C88" s="136" t="s">
        <v>121</v>
      </c>
      <c r="D88" s="136">
        <v>22</v>
      </c>
      <c r="E88" s="136">
        <v>25</v>
      </c>
      <c r="F88" s="136">
        <v>38</v>
      </c>
      <c r="G88" s="136">
        <v>51</v>
      </c>
      <c r="H88" s="136">
        <v>51</v>
      </c>
      <c r="I88" s="136">
        <v>44</v>
      </c>
    </row>
    <row r="89" spans="1:9" x14ac:dyDescent="0.2">
      <c r="A89" s="139"/>
      <c r="B89" s="139"/>
      <c r="C89" s="139" t="s">
        <v>118</v>
      </c>
      <c r="D89" s="139">
        <v>5</v>
      </c>
      <c r="E89" s="139">
        <v>7</v>
      </c>
      <c r="F89" s="139">
        <v>8</v>
      </c>
      <c r="G89" s="139">
        <v>5</v>
      </c>
      <c r="H89" s="139">
        <v>3</v>
      </c>
      <c r="I89" s="139">
        <v>1</v>
      </c>
    </row>
    <row r="90" spans="1:9" x14ac:dyDescent="0.2">
      <c r="A90" s="136"/>
      <c r="B90" s="136"/>
      <c r="C90" s="136" t="s">
        <v>116</v>
      </c>
      <c r="D90" s="136">
        <v>7</v>
      </c>
      <c r="E90" s="136">
        <v>3</v>
      </c>
      <c r="F90" s="136">
        <v>5</v>
      </c>
      <c r="G90" s="136">
        <v>8</v>
      </c>
      <c r="H90" s="136">
        <v>1</v>
      </c>
      <c r="I90" s="136">
        <v>1</v>
      </c>
    </row>
    <row r="91" spans="1:9" x14ac:dyDescent="0.2">
      <c r="A91" s="139"/>
      <c r="B91" s="139"/>
      <c r="C91" s="139" t="s">
        <v>113</v>
      </c>
      <c r="D91" s="139"/>
      <c r="E91" s="139"/>
      <c r="F91" s="139"/>
      <c r="G91" s="139"/>
      <c r="H91" s="139">
        <v>1</v>
      </c>
      <c r="I91" s="139">
        <v>7</v>
      </c>
    </row>
    <row r="92" spans="1:9" x14ac:dyDescent="0.2">
      <c r="A92" s="136"/>
      <c r="B92" s="136"/>
      <c r="C92" s="136" t="s">
        <v>117</v>
      </c>
      <c r="D92" s="136"/>
      <c r="E92" s="136"/>
      <c r="F92" s="136"/>
      <c r="G92" s="136"/>
      <c r="H92" s="136">
        <v>3</v>
      </c>
      <c r="I92" s="136">
        <v>2</v>
      </c>
    </row>
    <row r="93" spans="1:9" x14ac:dyDescent="0.2">
      <c r="A93" s="139"/>
      <c r="B93" s="139"/>
      <c r="C93" s="139" t="s">
        <v>122</v>
      </c>
      <c r="D93" s="139">
        <v>18</v>
      </c>
      <c r="E93" s="139">
        <v>36</v>
      </c>
      <c r="F93" s="139">
        <v>37</v>
      </c>
      <c r="G93" s="139">
        <v>46</v>
      </c>
      <c r="H93" s="139">
        <v>30</v>
      </c>
      <c r="I93" s="139">
        <v>36</v>
      </c>
    </row>
    <row r="94" spans="1:9" x14ac:dyDescent="0.2">
      <c r="A94" s="136"/>
      <c r="B94" s="136"/>
      <c r="C94" s="136" t="s">
        <v>115</v>
      </c>
      <c r="D94" s="136">
        <v>23</v>
      </c>
      <c r="E94" s="136">
        <v>21</v>
      </c>
      <c r="F94" s="136">
        <v>17</v>
      </c>
      <c r="G94" s="136">
        <v>14</v>
      </c>
      <c r="H94" s="136">
        <v>10</v>
      </c>
      <c r="I94" s="136">
        <v>18</v>
      </c>
    </row>
    <row r="95" spans="1:9" x14ac:dyDescent="0.2">
      <c r="A95" s="139"/>
      <c r="B95" s="139">
        <v>2.5</v>
      </c>
      <c r="C95" s="139" t="s">
        <v>121</v>
      </c>
      <c r="D95" s="139">
        <v>10</v>
      </c>
      <c r="E95" s="139">
        <v>1</v>
      </c>
      <c r="F95" s="139">
        <v>12</v>
      </c>
      <c r="G95" s="139">
        <v>7</v>
      </c>
      <c r="H95" s="139">
        <v>6</v>
      </c>
      <c r="I95" s="139">
        <v>7</v>
      </c>
    </row>
    <row r="96" spans="1:9" x14ac:dyDescent="0.2">
      <c r="A96" s="136"/>
      <c r="B96" s="136"/>
      <c r="C96" s="136" t="s">
        <v>116</v>
      </c>
      <c r="D96" s="136">
        <v>36</v>
      </c>
      <c r="E96" s="136">
        <v>25</v>
      </c>
      <c r="F96" s="136">
        <v>31</v>
      </c>
      <c r="G96" s="136">
        <v>50</v>
      </c>
      <c r="H96" s="136">
        <v>28</v>
      </c>
      <c r="I96" s="136">
        <v>31</v>
      </c>
    </row>
    <row r="97" spans="1:9" x14ac:dyDescent="0.2">
      <c r="A97" s="139"/>
      <c r="B97" s="139"/>
      <c r="C97" s="139" t="s">
        <v>113</v>
      </c>
      <c r="D97" s="139">
        <v>2</v>
      </c>
      <c r="E97" s="139">
        <v>1</v>
      </c>
      <c r="F97" s="139">
        <v>4</v>
      </c>
      <c r="G97" s="139">
        <v>4</v>
      </c>
      <c r="H97" s="139">
        <v>4</v>
      </c>
      <c r="I97" s="139">
        <v>2</v>
      </c>
    </row>
    <row r="98" spans="1:9" x14ac:dyDescent="0.2">
      <c r="A98" s="136"/>
      <c r="B98" s="136"/>
      <c r="C98" s="136" t="s">
        <v>117</v>
      </c>
      <c r="D98" s="136">
        <v>23</v>
      </c>
      <c r="E98" s="136">
        <v>23</v>
      </c>
      <c r="F98" s="136">
        <v>25</v>
      </c>
      <c r="G98" s="136">
        <v>29</v>
      </c>
      <c r="H98" s="136">
        <v>35</v>
      </c>
      <c r="I98" s="136">
        <v>40</v>
      </c>
    </row>
    <row r="99" spans="1:9" x14ac:dyDescent="0.2">
      <c r="A99" s="139" t="s">
        <v>101</v>
      </c>
      <c r="B99" s="139">
        <v>1</v>
      </c>
      <c r="C99" s="139" t="s">
        <v>121</v>
      </c>
      <c r="D99" s="139">
        <v>2</v>
      </c>
      <c r="E99" s="139">
        <v>2</v>
      </c>
      <c r="F99" s="139">
        <v>1</v>
      </c>
      <c r="G99" s="139">
        <v>2</v>
      </c>
      <c r="H99" s="139"/>
      <c r="I99" s="139"/>
    </row>
    <row r="100" spans="1:9" x14ac:dyDescent="0.2">
      <c r="A100" s="136"/>
      <c r="B100" s="136"/>
      <c r="C100" s="136" t="s">
        <v>60</v>
      </c>
      <c r="D100" s="136">
        <v>5</v>
      </c>
      <c r="E100" s="136">
        <v>2</v>
      </c>
      <c r="F100" s="136">
        <v>5</v>
      </c>
      <c r="G100" s="136">
        <v>5</v>
      </c>
      <c r="H100" s="136">
        <v>2</v>
      </c>
      <c r="I100" s="136">
        <v>1</v>
      </c>
    </row>
    <row r="101" spans="1:9" x14ac:dyDescent="0.2">
      <c r="A101" s="139"/>
      <c r="B101" s="139"/>
      <c r="C101" s="139" t="s">
        <v>119</v>
      </c>
      <c r="D101" s="139">
        <v>4</v>
      </c>
      <c r="E101" s="139">
        <v>26</v>
      </c>
      <c r="F101" s="139">
        <v>19</v>
      </c>
      <c r="G101" s="139">
        <v>9</v>
      </c>
      <c r="H101" s="139">
        <v>17</v>
      </c>
      <c r="I101" s="139">
        <v>14</v>
      </c>
    </row>
    <row r="102" spans="1:9" x14ac:dyDescent="0.2">
      <c r="A102" s="136"/>
      <c r="B102" s="136"/>
      <c r="C102" s="136" t="s">
        <v>122</v>
      </c>
      <c r="D102" s="136">
        <v>34</v>
      </c>
      <c r="E102" s="136">
        <v>40</v>
      </c>
      <c r="F102" s="136">
        <v>42</v>
      </c>
      <c r="G102" s="136">
        <v>45</v>
      </c>
      <c r="H102" s="136">
        <v>43</v>
      </c>
      <c r="I102" s="136">
        <v>30</v>
      </c>
    </row>
    <row r="103" spans="1:9" x14ac:dyDescent="0.2">
      <c r="A103" s="139"/>
      <c r="B103" s="139"/>
      <c r="C103" s="139" t="s">
        <v>115</v>
      </c>
      <c r="D103" s="139">
        <v>1</v>
      </c>
      <c r="E103" s="139">
        <v>5</v>
      </c>
      <c r="F103" s="139">
        <v>3</v>
      </c>
      <c r="G103" s="139">
        <v>5</v>
      </c>
      <c r="H103" s="139">
        <v>2</v>
      </c>
      <c r="I103" s="139">
        <v>8</v>
      </c>
    </row>
    <row r="104" spans="1:9" x14ac:dyDescent="0.2">
      <c r="A104" s="136"/>
      <c r="B104" s="136">
        <v>2</v>
      </c>
      <c r="C104" s="136" t="s">
        <v>121</v>
      </c>
      <c r="D104" s="136">
        <v>62</v>
      </c>
      <c r="E104" s="136">
        <v>67</v>
      </c>
      <c r="F104" s="136">
        <v>66</v>
      </c>
      <c r="G104" s="136">
        <v>90</v>
      </c>
      <c r="H104" s="136">
        <v>99</v>
      </c>
      <c r="I104" s="136">
        <v>89</v>
      </c>
    </row>
    <row r="105" spans="1:9" x14ac:dyDescent="0.2">
      <c r="A105" s="139"/>
      <c r="B105" s="139"/>
      <c r="C105" s="139" t="s">
        <v>118</v>
      </c>
      <c r="D105" s="139">
        <v>5</v>
      </c>
      <c r="E105" s="139">
        <v>7</v>
      </c>
      <c r="F105" s="139">
        <v>7</v>
      </c>
      <c r="G105" s="139">
        <v>7</v>
      </c>
      <c r="H105" s="139">
        <v>5</v>
      </c>
      <c r="I105" s="139">
        <v>3</v>
      </c>
    </row>
    <row r="106" spans="1:9" x14ac:dyDescent="0.2">
      <c r="A106" s="136"/>
      <c r="B106" s="136"/>
      <c r="C106" s="136" t="s">
        <v>116</v>
      </c>
      <c r="D106" s="136">
        <v>1</v>
      </c>
      <c r="E106" s="136"/>
      <c r="F106" s="136">
        <v>1</v>
      </c>
      <c r="G106" s="136">
        <v>2</v>
      </c>
      <c r="H106" s="136"/>
      <c r="I106" s="136"/>
    </row>
    <row r="107" spans="1:9" x14ac:dyDescent="0.2">
      <c r="A107" s="139"/>
      <c r="B107" s="139"/>
      <c r="C107" s="139" t="s">
        <v>113</v>
      </c>
      <c r="D107" s="139">
        <v>1</v>
      </c>
      <c r="E107" s="139"/>
      <c r="F107" s="139"/>
      <c r="G107" s="139">
        <v>1</v>
      </c>
      <c r="H107" s="139"/>
      <c r="I107" s="139"/>
    </row>
    <row r="108" spans="1:9" x14ac:dyDescent="0.2">
      <c r="A108" s="136"/>
      <c r="B108" s="136"/>
      <c r="C108" s="136" t="s">
        <v>117</v>
      </c>
      <c r="D108" s="136">
        <v>11</v>
      </c>
      <c r="E108" s="136">
        <v>12</v>
      </c>
      <c r="F108" s="136">
        <v>22</v>
      </c>
      <c r="G108" s="136">
        <v>21</v>
      </c>
      <c r="H108" s="136">
        <v>6</v>
      </c>
      <c r="I108" s="136">
        <v>11</v>
      </c>
    </row>
    <row r="109" spans="1:9" x14ac:dyDescent="0.2">
      <c r="A109" s="139"/>
      <c r="B109" s="139"/>
      <c r="C109" s="139" t="s">
        <v>122</v>
      </c>
      <c r="D109" s="139">
        <v>17</v>
      </c>
      <c r="E109" s="139">
        <v>18</v>
      </c>
      <c r="F109" s="139">
        <v>26</v>
      </c>
      <c r="G109" s="139">
        <v>19</v>
      </c>
      <c r="H109" s="139">
        <v>22</v>
      </c>
      <c r="I109" s="139">
        <v>22</v>
      </c>
    </row>
    <row r="110" spans="1:9" x14ac:dyDescent="0.2">
      <c r="A110" s="136"/>
      <c r="B110" s="136"/>
      <c r="C110" s="136" t="s">
        <v>115</v>
      </c>
      <c r="D110" s="136">
        <v>11</v>
      </c>
      <c r="E110" s="136">
        <v>23</v>
      </c>
      <c r="F110" s="136">
        <v>21</v>
      </c>
      <c r="G110" s="136">
        <v>18</v>
      </c>
      <c r="H110" s="136">
        <v>16</v>
      </c>
      <c r="I110" s="136">
        <v>21</v>
      </c>
    </row>
    <row r="111" spans="1:9" x14ac:dyDescent="0.2">
      <c r="A111" s="139"/>
      <c r="B111" s="139">
        <v>2.5</v>
      </c>
      <c r="C111" s="139" t="s">
        <v>121</v>
      </c>
      <c r="D111" s="139">
        <v>3</v>
      </c>
      <c r="E111" s="139">
        <v>6</v>
      </c>
      <c r="F111" s="139">
        <v>12</v>
      </c>
      <c r="G111" s="139">
        <v>9</v>
      </c>
      <c r="H111" s="139">
        <v>16</v>
      </c>
      <c r="I111" s="139">
        <v>11</v>
      </c>
    </row>
    <row r="112" spans="1:9" x14ac:dyDescent="0.2">
      <c r="A112" s="136"/>
      <c r="B112" s="136"/>
      <c r="C112" s="136" t="s">
        <v>118</v>
      </c>
      <c r="D112" s="136">
        <v>1</v>
      </c>
      <c r="E112" s="136">
        <v>1</v>
      </c>
      <c r="F112" s="136"/>
      <c r="G112" s="136"/>
      <c r="H112" s="136">
        <v>1</v>
      </c>
      <c r="I112" s="136"/>
    </row>
    <row r="113" spans="1:9" x14ac:dyDescent="0.2">
      <c r="A113" s="139"/>
      <c r="B113" s="139"/>
      <c r="C113" s="139" t="s">
        <v>116</v>
      </c>
      <c r="D113" s="139">
        <v>1</v>
      </c>
      <c r="E113" s="139">
        <v>7</v>
      </c>
      <c r="F113" s="139">
        <v>2</v>
      </c>
      <c r="G113" s="139">
        <v>3</v>
      </c>
      <c r="H113" s="139">
        <v>9</v>
      </c>
      <c r="I113" s="139">
        <v>14</v>
      </c>
    </row>
    <row r="114" spans="1:9" x14ac:dyDescent="0.2">
      <c r="A114" s="136"/>
      <c r="B114" s="136"/>
      <c r="C114" s="136" t="s">
        <v>113</v>
      </c>
      <c r="D114" s="136">
        <v>16</v>
      </c>
      <c r="E114" s="136">
        <v>13</v>
      </c>
      <c r="F114" s="136">
        <v>19</v>
      </c>
      <c r="G114" s="136">
        <v>18</v>
      </c>
      <c r="H114" s="136">
        <v>4</v>
      </c>
      <c r="I114" s="136">
        <v>1</v>
      </c>
    </row>
    <row r="115" spans="1:9" x14ac:dyDescent="0.2">
      <c r="A115" s="139"/>
      <c r="B115" s="139"/>
      <c r="C115" s="139" t="s">
        <v>117</v>
      </c>
      <c r="D115" s="139">
        <v>18</v>
      </c>
      <c r="E115" s="139">
        <v>28</v>
      </c>
      <c r="F115" s="139">
        <v>20</v>
      </c>
      <c r="G115" s="139">
        <v>28</v>
      </c>
      <c r="H115" s="139">
        <v>71</v>
      </c>
      <c r="I115" s="139">
        <v>66</v>
      </c>
    </row>
    <row r="116" spans="1:9" x14ac:dyDescent="0.2">
      <c r="A116" s="136"/>
      <c r="B116" s="136"/>
      <c r="C116" s="136" t="s">
        <v>122</v>
      </c>
      <c r="D116" s="136">
        <v>2</v>
      </c>
      <c r="E116" s="136">
        <v>6</v>
      </c>
      <c r="F116" s="136">
        <v>6</v>
      </c>
      <c r="G116" s="136">
        <v>10</v>
      </c>
      <c r="H116" s="136">
        <v>8</v>
      </c>
      <c r="I116" s="136">
        <v>8</v>
      </c>
    </row>
    <row r="117" spans="1:9" x14ac:dyDescent="0.2">
      <c r="A117" s="139" t="s">
        <v>105</v>
      </c>
      <c r="B117" s="139">
        <v>1</v>
      </c>
      <c r="C117" s="139" t="s">
        <v>123</v>
      </c>
      <c r="D117" s="139"/>
      <c r="E117" s="139"/>
      <c r="F117" s="139">
        <v>3</v>
      </c>
      <c r="G117" s="139"/>
      <c r="H117" s="139"/>
      <c r="I117" s="139"/>
    </row>
    <row r="118" spans="1:9" x14ac:dyDescent="0.2">
      <c r="A118" s="136"/>
      <c r="B118" s="136"/>
      <c r="C118" s="136" t="s">
        <v>121</v>
      </c>
      <c r="D118" s="136">
        <v>1</v>
      </c>
      <c r="E118" s="136"/>
      <c r="F118" s="136">
        <v>2</v>
      </c>
      <c r="G118" s="136">
        <v>5</v>
      </c>
      <c r="H118" s="136">
        <v>3</v>
      </c>
      <c r="I118" s="136">
        <v>2</v>
      </c>
    </row>
    <row r="119" spans="1:9" x14ac:dyDescent="0.2">
      <c r="A119" s="139"/>
      <c r="B119" s="139"/>
      <c r="C119" s="139" t="s">
        <v>116</v>
      </c>
      <c r="D119" s="139"/>
      <c r="E119" s="139">
        <v>1</v>
      </c>
      <c r="F119" s="139"/>
      <c r="G119" s="139"/>
      <c r="H119" s="139"/>
      <c r="I119" s="139">
        <v>2</v>
      </c>
    </row>
    <row r="120" spans="1:9" x14ac:dyDescent="0.2">
      <c r="A120" s="136"/>
      <c r="B120" s="136"/>
      <c r="C120" s="136" t="s">
        <v>60</v>
      </c>
      <c r="D120" s="136">
        <v>30</v>
      </c>
      <c r="E120" s="136">
        <v>21</v>
      </c>
      <c r="F120" s="136">
        <v>25</v>
      </c>
      <c r="G120" s="136">
        <v>30</v>
      </c>
      <c r="H120" s="136">
        <v>26</v>
      </c>
      <c r="I120" s="136">
        <v>16</v>
      </c>
    </row>
    <row r="121" spans="1:9" x14ac:dyDescent="0.2">
      <c r="A121" s="139"/>
      <c r="B121" s="139"/>
      <c r="C121" s="139" t="s">
        <v>119</v>
      </c>
      <c r="D121" s="139">
        <v>4</v>
      </c>
      <c r="E121" s="139">
        <v>7</v>
      </c>
      <c r="F121" s="139">
        <v>10</v>
      </c>
      <c r="G121" s="139">
        <v>5</v>
      </c>
      <c r="H121" s="139">
        <v>7</v>
      </c>
      <c r="I121" s="139"/>
    </row>
    <row r="122" spans="1:9" x14ac:dyDescent="0.2">
      <c r="A122" s="136"/>
      <c r="B122" s="136"/>
      <c r="C122" s="136" t="s">
        <v>122</v>
      </c>
      <c r="D122" s="136">
        <v>26</v>
      </c>
      <c r="E122" s="136">
        <v>23</v>
      </c>
      <c r="F122" s="136">
        <v>18</v>
      </c>
      <c r="G122" s="136">
        <v>33</v>
      </c>
      <c r="H122" s="136">
        <v>21</v>
      </c>
      <c r="I122" s="136">
        <v>30</v>
      </c>
    </row>
    <row r="123" spans="1:9" x14ac:dyDescent="0.2">
      <c r="A123" s="139"/>
      <c r="B123" s="139"/>
      <c r="C123" s="139" t="s">
        <v>115</v>
      </c>
      <c r="D123" s="139"/>
      <c r="E123" s="139">
        <v>5</v>
      </c>
      <c r="F123" s="139">
        <v>1</v>
      </c>
      <c r="G123" s="139">
        <v>3</v>
      </c>
      <c r="H123" s="139">
        <v>1</v>
      </c>
      <c r="I123" s="139">
        <v>4</v>
      </c>
    </row>
    <row r="124" spans="1:9" x14ac:dyDescent="0.2">
      <c r="A124" s="136"/>
      <c r="B124" s="136">
        <v>2</v>
      </c>
      <c r="C124" s="136" t="s">
        <v>121</v>
      </c>
      <c r="D124" s="136">
        <v>47</v>
      </c>
      <c r="E124" s="136">
        <v>41</v>
      </c>
      <c r="F124" s="136">
        <v>45</v>
      </c>
      <c r="G124" s="136">
        <v>34</v>
      </c>
      <c r="H124" s="136">
        <v>30</v>
      </c>
      <c r="I124" s="136">
        <v>49</v>
      </c>
    </row>
    <row r="125" spans="1:9" x14ac:dyDescent="0.2">
      <c r="A125" s="139"/>
      <c r="B125" s="139"/>
      <c r="C125" s="139" t="s">
        <v>118</v>
      </c>
      <c r="D125" s="139">
        <v>5</v>
      </c>
      <c r="E125" s="139">
        <v>6</v>
      </c>
      <c r="F125" s="139">
        <v>15</v>
      </c>
      <c r="G125" s="139">
        <v>8</v>
      </c>
      <c r="H125" s="139">
        <v>11</v>
      </c>
      <c r="I125" s="139">
        <v>7</v>
      </c>
    </row>
    <row r="126" spans="1:9" x14ac:dyDescent="0.2">
      <c r="A126" s="136"/>
      <c r="B126" s="136"/>
      <c r="C126" s="136" t="s">
        <v>60</v>
      </c>
      <c r="D126" s="136">
        <v>3</v>
      </c>
      <c r="E126" s="136">
        <v>6</v>
      </c>
      <c r="F126" s="136">
        <v>6</v>
      </c>
      <c r="G126" s="136">
        <v>3</v>
      </c>
      <c r="H126" s="136">
        <v>2</v>
      </c>
      <c r="I126" s="136"/>
    </row>
    <row r="127" spans="1:9" x14ac:dyDescent="0.2">
      <c r="A127" s="139"/>
      <c r="B127" s="139"/>
      <c r="C127" s="139" t="s">
        <v>122</v>
      </c>
      <c r="D127" s="139">
        <v>28</v>
      </c>
      <c r="E127" s="139">
        <v>28</v>
      </c>
      <c r="F127" s="139">
        <v>23</v>
      </c>
      <c r="G127" s="139">
        <v>25</v>
      </c>
      <c r="H127" s="139">
        <v>38</v>
      </c>
      <c r="I127" s="139">
        <v>34</v>
      </c>
    </row>
    <row r="128" spans="1:9" x14ac:dyDescent="0.2">
      <c r="A128" s="136"/>
      <c r="B128" s="136"/>
      <c r="C128" s="136" t="s">
        <v>115</v>
      </c>
      <c r="D128" s="136">
        <v>28</v>
      </c>
      <c r="E128" s="136">
        <v>9</v>
      </c>
      <c r="F128" s="136">
        <v>25</v>
      </c>
      <c r="G128" s="136">
        <v>17</v>
      </c>
      <c r="H128" s="136">
        <v>5</v>
      </c>
      <c r="I128" s="136">
        <v>22</v>
      </c>
    </row>
    <row r="129" spans="1:9" x14ac:dyDescent="0.2">
      <c r="A129" s="139"/>
      <c r="B129" s="139">
        <v>2.5</v>
      </c>
      <c r="C129" s="139" t="s">
        <v>116</v>
      </c>
      <c r="D129" s="139">
        <v>20</v>
      </c>
      <c r="E129" s="139">
        <v>10</v>
      </c>
      <c r="F129" s="139">
        <v>10</v>
      </c>
      <c r="G129" s="139">
        <v>9</v>
      </c>
      <c r="H129" s="139">
        <v>5</v>
      </c>
      <c r="I129" s="139">
        <v>8</v>
      </c>
    </row>
    <row r="130" spans="1:9" x14ac:dyDescent="0.2">
      <c r="A130" s="136" t="s">
        <v>104</v>
      </c>
      <c r="B130" s="136">
        <v>1</v>
      </c>
      <c r="C130" s="136" t="s">
        <v>121</v>
      </c>
      <c r="D130" s="136">
        <v>2</v>
      </c>
      <c r="E130" s="136">
        <v>9</v>
      </c>
      <c r="F130" s="136">
        <v>5</v>
      </c>
      <c r="G130" s="136">
        <v>11</v>
      </c>
      <c r="H130" s="136">
        <v>3</v>
      </c>
      <c r="I130" s="136">
        <v>6</v>
      </c>
    </row>
    <row r="131" spans="1:9" x14ac:dyDescent="0.2">
      <c r="A131" s="139"/>
      <c r="B131" s="139"/>
      <c r="C131" s="139" t="s">
        <v>60</v>
      </c>
      <c r="D131" s="139">
        <v>14</v>
      </c>
      <c r="E131" s="139">
        <v>28</v>
      </c>
      <c r="F131" s="139">
        <v>31</v>
      </c>
      <c r="G131" s="139">
        <v>6</v>
      </c>
      <c r="H131" s="139">
        <v>28</v>
      </c>
      <c r="I131" s="139">
        <v>12</v>
      </c>
    </row>
    <row r="132" spans="1:9" x14ac:dyDescent="0.2">
      <c r="A132" s="136"/>
      <c r="B132" s="136"/>
      <c r="C132" s="136" t="s">
        <v>119</v>
      </c>
      <c r="D132" s="136">
        <v>14</v>
      </c>
      <c r="E132" s="136">
        <v>11</v>
      </c>
      <c r="F132" s="136">
        <v>17</v>
      </c>
      <c r="G132" s="136">
        <v>5</v>
      </c>
      <c r="H132" s="136">
        <v>9</v>
      </c>
      <c r="I132" s="136">
        <v>16</v>
      </c>
    </row>
    <row r="133" spans="1:9" x14ac:dyDescent="0.2">
      <c r="A133" s="139"/>
      <c r="B133" s="139"/>
      <c r="C133" s="139" t="s">
        <v>122</v>
      </c>
      <c r="D133" s="139">
        <v>72</v>
      </c>
      <c r="E133" s="139">
        <v>87</v>
      </c>
      <c r="F133" s="139">
        <v>87</v>
      </c>
      <c r="G133" s="139">
        <v>45</v>
      </c>
      <c r="H133" s="139">
        <v>101</v>
      </c>
      <c r="I133" s="139">
        <v>91</v>
      </c>
    </row>
    <row r="134" spans="1:9" x14ac:dyDescent="0.2">
      <c r="A134" s="136"/>
      <c r="B134" s="136"/>
      <c r="C134" s="136" t="s">
        <v>115</v>
      </c>
      <c r="D134" s="136">
        <v>23</v>
      </c>
      <c r="E134" s="136">
        <v>40</v>
      </c>
      <c r="F134" s="136">
        <v>20</v>
      </c>
      <c r="G134" s="136">
        <v>20</v>
      </c>
      <c r="H134" s="136">
        <v>19</v>
      </c>
      <c r="I134" s="136">
        <v>19</v>
      </c>
    </row>
    <row r="135" spans="1:9" x14ac:dyDescent="0.2">
      <c r="A135" s="139"/>
      <c r="B135" s="139"/>
      <c r="C135" s="139" t="s">
        <v>120</v>
      </c>
      <c r="D135" s="139"/>
      <c r="E135" s="139"/>
      <c r="F135" s="139">
        <v>1</v>
      </c>
      <c r="G135" s="139"/>
      <c r="H135" s="139"/>
      <c r="I135" s="139"/>
    </row>
    <row r="136" spans="1:9" x14ac:dyDescent="0.2">
      <c r="A136" s="136"/>
      <c r="B136" s="136">
        <v>2</v>
      </c>
      <c r="C136" s="136" t="s">
        <v>121</v>
      </c>
      <c r="D136" s="136">
        <v>34</v>
      </c>
      <c r="E136" s="136">
        <v>50</v>
      </c>
      <c r="F136" s="136">
        <v>54</v>
      </c>
      <c r="G136" s="136">
        <v>43</v>
      </c>
      <c r="H136" s="136">
        <v>51</v>
      </c>
      <c r="I136" s="136">
        <v>46</v>
      </c>
    </row>
    <row r="137" spans="1:9" x14ac:dyDescent="0.2">
      <c r="A137" s="139"/>
      <c r="B137" s="139"/>
      <c r="C137" s="139" t="s">
        <v>118</v>
      </c>
      <c r="D137" s="139">
        <v>2</v>
      </c>
      <c r="E137" s="139">
        <v>4</v>
      </c>
      <c r="F137" s="139">
        <v>6</v>
      </c>
      <c r="G137" s="139">
        <v>3</v>
      </c>
      <c r="H137" s="139">
        <v>7</v>
      </c>
      <c r="I137" s="139">
        <v>2</v>
      </c>
    </row>
    <row r="138" spans="1:9" x14ac:dyDescent="0.2">
      <c r="A138" s="136"/>
      <c r="B138" s="136"/>
      <c r="C138" s="136" t="s">
        <v>116</v>
      </c>
      <c r="D138" s="136">
        <v>8</v>
      </c>
      <c r="E138" s="136">
        <v>18</v>
      </c>
      <c r="F138" s="136">
        <v>15</v>
      </c>
      <c r="G138" s="136">
        <v>15</v>
      </c>
      <c r="H138" s="136">
        <v>13</v>
      </c>
      <c r="I138" s="136">
        <v>21</v>
      </c>
    </row>
    <row r="139" spans="1:9" x14ac:dyDescent="0.2">
      <c r="A139" s="139"/>
      <c r="B139" s="139"/>
      <c r="C139" s="139" t="s">
        <v>114</v>
      </c>
      <c r="D139" s="139">
        <v>3</v>
      </c>
      <c r="E139" s="139">
        <v>6</v>
      </c>
      <c r="F139" s="139">
        <v>2</v>
      </c>
      <c r="G139" s="139">
        <v>4</v>
      </c>
      <c r="H139" s="139">
        <v>3</v>
      </c>
      <c r="I139" s="139"/>
    </row>
    <row r="140" spans="1:9" x14ac:dyDescent="0.2">
      <c r="A140" s="136"/>
      <c r="B140" s="136"/>
      <c r="C140" s="136" t="s">
        <v>113</v>
      </c>
      <c r="D140" s="136">
        <v>8</v>
      </c>
      <c r="E140" s="136">
        <v>8</v>
      </c>
      <c r="F140" s="136">
        <v>13</v>
      </c>
      <c r="G140" s="136">
        <v>9</v>
      </c>
      <c r="H140" s="136">
        <v>5</v>
      </c>
      <c r="I140" s="136">
        <v>10</v>
      </c>
    </row>
    <row r="141" spans="1:9" x14ac:dyDescent="0.2">
      <c r="A141" s="139"/>
      <c r="B141" s="139"/>
      <c r="C141" s="139" t="s">
        <v>117</v>
      </c>
      <c r="D141" s="139">
        <v>12</v>
      </c>
      <c r="E141" s="139">
        <v>7</v>
      </c>
      <c r="F141" s="139">
        <v>7</v>
      </c>
      <c r="G141" s="139">
        <v>1</v>
      </c>
      <c r="H141" s="139">
        <v>3</v>
      </c>
      <c r="I141" s="139">
        <v>2</v>
      </c>
    </row>
    <row r="142" spans="1:9" x14ac:dyDescent="0.2">
      <c r="A142" s="136"/>
      <c r="B142" s="136"/>
      <c r="C142" s="136" t="s">
        <v>122</v>
      </c>
      <c r="D142" s="136">
        <v>10</v>
      </c>
      <c r="E142" s="136">
        <v>17</v>
      </c>
      <c r="F142" s="136">
        <v>17</v>
      </c>
      <c r="G142" s="136">
        <v>15</v>
      </c>
      <c r="H142" s="136">
        <v>21</v>
      </c>
      <c r="I142" s="136">
        <v>23</v>
      </c>
    </row>
    <row r="143" spans="1:9" x14ac:dyDescent="0.2">
      <c r="A143" s="139"/>
      <c r="B143" s="139"/>
      <c r="C143" s="139" t="s">
        <v>115</v>
      </c>
      <c r="D143" s="139">
        <v>29</v>
      </c>
      <c r="E143" s="139">
        <v>37</v>
      </c>
      <c r="F143" s="139">
        <v>36</v>
      </c>
      <c r="G143" s="139">
        <v>15</v>
      </c>
      <c r="H143" s="139">
        <v>51</v>
      </c>
      <c r="I143" s="139">
        <v>39</v>
      </c>
    </row>
    <row r="144" spans="1:9" x14ac:dyDescent="0.2">
      <c r="A144" s="136"/>
      <c r="B144" s="136">
        <v>2.5</v>
      </c>
      <c r="C144" s="136" t="s">
        <v>116</v>
      </c>
      <c r="D144" s="136">
        <v>3</v>
      </c>
      <c r="E144" s="136">
        <v>3</v>
      </c>
      <c r="F144" s="136">
        <v>8</v>
      </c>
      <c r="G144" s="136">
        <v>10</v>
      </c>
      <c r="H144" s="136">
        <v>5</v>
      </c>
      <c r="I144" s="136">
        <v>8</v>
      </c>
    </row>
    <row r="145" spans="1:9" x14ac:dyDescent="0.2">
      <c r="A145" s="139"/>
      <c r="B145" s="139"/>
      <c r="C145" s="139" t="s">
        <v>114</v>
      </c>
      <c r="D145" s="139">
        <v>10</v>
      </c>
      <c r="E145" s="139">
        <v>78</v>
      </c>
      <c r="F145" s="139">
        <v>86</v>
      </c>
      <c r="G145" s="139">
        <v>92</v>
      </c>
      <c r="H145" s="139">
        <v>91</v>
      </c>
      <c r="I145" s="139">
        <v>96</v>
      </c>
    </row>
    <row r="146" spans="1:9" x14ac:dyDescent="0.2">
      <c r="A146" s="136"/>
      <c r="B146" s="136"/>
      <c r="C146" s="136" t="s">
        <v>117</v>
      </c>
      <c r="D146" s="136"/>
      <c r="E146" s="136"/>
      <c r="F146" s="136"/>
      <c r="G146" s="136">
        <v>2</v>
      </c>
      <c r="H146" s="136">
        <v>1</v>
      </c>
      <c r="I146" s="136"/>
    </row>
    <row r="147" spans="1:9" x14ac:dyDescent="0.2">
      <c r="A147" s="139" t="s">
        <v>109</v>
      </c>
      <c r="B147" s="139">
        <v>2</v>
      </c>
      <c r="C147" s="139" t="s">
        <v>117</v>
      </c>
      <c r="D147" s="139">
        <v>3</v>
      </c>
      <c r="E147" s="139">
        <v>2</v>
      </c>
      <c r="F147" s="139"/>
      <c r="G147" s="139">
        <v>5</v>
      </c>
      <c r="H147" s="139">
        <v>4</v>
      </c>
      <c r="I147" s="139">
        <v>2</v>
      </c>
    </row>
    <row r="148" spans="1:9" x14ac:dyDescent="0.2">
      <c r="A148" s="136"/>
      <c r="B148" s="136"/>
      <c r="C148" s="136" t="s">
        <v>115</v>
      </c>
      <c r="D148" s="136">
        <v>4</v>
      </c>
      <c r="E148" s="136">
        <v>6</v>
      </c>
      <c r="F148" s="136">
        <v>12</v>
      </c>
      <c r="G148" s="136">
        <v>15</v>
      </c>
      <c r="H148" s="136">
        <v>12</v>
      </c>
      <c r="I148" s="136">
        <v>16</v>
      </c>
    </row>
    <row r="149" spans="1:9" ht="25.5" x14ac:dyDescent="0.2">
      <c r="A149" s="139" t="s">
        <v>111</v>
      </c>
      <c r="B149" s="139">
        <v>2</v>
      </c>
      <c r="C149" s="139" t="s">
        <v>115</v>
      </c>
      <c r="D149" s="139">
        <v>18</v>
      </c>
      <c r="E149" s="139"/>
      <c r="F149" s="139">
        <v>5</v>
      </c>
      <c r="G149" s="139">
        <v>7</v>
      </c>
      <c r="H149" s="139">
        <v>10</v>
      </c>
      <c r="I149" s="139"/>
    </row>
    <row r="150" spans="1:9" x14ac:dyDescent="0.2">
      <c r="A150" s="136" t="s">
        <v>112</v>
      </c>
      <c r="B150" s="136">
        <v>1</v>
      </c>
      <c r="C150" s="136" t="s">
        <v>122</v>
      </c>
      <c r="D150" s="136">
        <v>7</v>
      </c>
      <c r="E150" s="136">
        <v>4</v>
      </c>
      <c r="F150" s="136">
        <v>3</v>
      </c>
      <c r="G150" s="136">
        <v>6</v>
      </c>
      <c r="H150" s="136">
        <v>4</v>
      </c>
      <c r="I150" s="136">
        <v>1</v>
      </c>
    </row>
    <row r="151" spans="1:9" x14ac:dyDescent="0.2">
      <c r="A151" s="170" t="s">
        <v>27</v>
      </c>
      <c r="B151" s="170"/>
      <c r="C151" s="170"/>
      <c r="D151" s="170">
        <v>2016</v>
      </c>
      <c r="E151" s="170">
        <v>2407</v>
      </c>
      <c r="F151" s="170">
        <v>2569</v>
      </c>
      <c r="G151" s="170">
        <v>2611</v>
      </c>
      <c r="H151" s="170">
        <v>2466</v>
      </c>
      <c r="I151" s="170">
        <v>2545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workbookViewId="0">
      <selection activeCell="J34" sqref="J34"/>
    </sheetView>
  </sheetViews>
  <sheetFormatPr defaultRowHeight="15" x14ac:dyDescent="0.2"/>
  <cols>
    <col min="1" max="1" width="27.88671875" customWidth="1"/>
    <col min="2" max="2" width="9.109375" customWidth="1"/>
    <col min="3" max="3" width="24.33203125" customWidth="1"/>
  </cols>
  <sheetData>
    <row r="2" spans="1:9" ht="15.75" customHeight="1" x14ac:dyDescent="0.25">
      <c r="A2" s="1" t="s">
        <v>289</v>
      </c>
      <c r="E2" s="2"/>
      <c r="F2" s="1"/>
    </row>
    <row r="5" spans="1:9" ht="24.75" thickBot="1" x14ac:dyDescent="0.25">
      <c r="A5" s="128" t="s">
        <v>97</v>
      </c>
      <c r="B5" s="129" t="s">
        <v>124</v>
      </c>
      <c r="C5" s="129" t="s">
        <v>138</v>
      </c>
      <c r="D5" s="129">
        <v>2010</v>
      </c>
      <c r="E5" s="129">
        <v>2011</v>
      </c>
      <c r="F5" s="129">
        <v>2012</v>
      </c>
      <c r="G5" s="129">
        <v>2013</v>
      </c>
      <c r="H5" s="129">
        <v>2014</v>
      </c>
      <c r="I5" s="129">
        <v>2015</v>
      </c>
    </row>
    <row r="6" spans="1:9" ht="15.75" thickTop="1" x14ac:dyDescent="0.2">
      <c r="A6" s="122" t="s">
        <v>106</v>
      </c>
      <c r="B6" s="123">
        <v>2</v>
      </c>
      <c r="C6" s="124" t="s">
        <v>115</v>
      </c>
      <c r="D6" s="125">
        <v>42</v>
      </c>
      <c r="E6" s="125">
        <v>2</v>
      </c>
      <c r="F6" s="126">
        <v>51</v>
      </c>
      <c r="G6" s="127">
        <v>38</v>
      </c>
      <c r="H6" s="126">
        <v>36</v>
      </c>
      <c r="I6" s="126">
        <v>55</v>
      </c>
    </row>
    <row r="7" spans="1:9" ht="25.5" x14ac:dyDescent="0.2">
      <c r="A7" s="116"/>
      <c r="B7" s="117">
        <v>2.5</v>
      </c>
      <c r="C7" s="118" t="s">
        <v>116</v>
      </c>
      <c r="D7" s="119">
        <v>1</v>
      </c>
      <c r="E7" s="119"/>
      <c r="F7" s="120">
        <v>9</v>
      </c>
      <c r="G7" s="121">
        <v>1</v>
      </c>
      <c r="H7" s="120">
        <v>5</v>
      </c>
      <c r="I7" s="120"/>
    </row>
    <row r="8" spans="1:9" x14ac:dyDescent="0.2">
      <c r="A8" s="122" t="s">
        <v>36</v>
      </c>
      <c r="B8" s="123">
        <v>2</v>
      </c>
      <c r="C8" s="124" t="s">
        <v>115</v>
      </c>
      <c r="D8" s="125"/>
      <c r="E8" s="125"/>
      <c r="F8" s="126"/>
      <c r="G8" s="127"/>
      <c r="H8" s="126"/>
      <c r="I8" s="126"/>
    </row>
    <row r="9" spans="1:9" x14ac:dyDescent="0.2">
      <c r="A9" s="116"/>
      <c r="B9" s="117">
        <v>2.5</v>
      </c>
      <c r="C9" s="118" t="s">
        <v>121</v>
      </c>
      <c r="D9" s="119"/>
      <c r="E9" s="119">
        <v>1</v>
      </c>
      <c r="F9" s="120"/>
      <c r="G9" s="121"/>
      <c r="H9" s="120"/>
      <c r="I9" s="120"/>
    </row>
    <row r="10" spans="1:9" x14ac:dyDescent="0.2">
      <c r="A10" s="122"/>
      <c r="B10" s="123"/>
      <c r="C10" s="124" t="s">
        <v>122</v>
      </c>
      <c r="D10" s="125">
        <v>5</v>
      </c>
      <c r="E10" s="125">
        <v>7</v>
      </c>
      <c r="F10" s="126"/>
      <c r="G10" s="127"/>
      <c r="H10" s="126"/>
      <c r="I10" s="126"/>
    </row>
    <row r="11" spans="1:9" x14ac:dyDescent="0.2">
      <c r="A11" s="116" t="s">
        <v>103</v>
      </c>
      <c r="B11" s="117">
        <v>1</v>
      </c>
      <c r="C11" s="118" t="s">
        <v>60</v>
      </c>
      <c r="D11" s="119"/>
      <c r="E11" s="119">
        <v>19</v>
      </c>
      <c r="F11" s="120">
        <v>4</v>
      </c>
      <c r="G11" s="121"/>
      <c r="H11" s="120"/>
      <c r="I11" s="120"/>
    </row>
    <row r="12" spans="1:9" x14ac:dyDescent="0.2">
      <c r="A12" s="122"/>
      <c r="B12" s="123">
        <v>2</v>
      </c>
      <c r="C12" s="124" t="s">
        <v>115</v>
      </c>
      <c r="D12" s="125"/>
      <c r="E12" s="125"/>
      <c r="F12" s="126"/>
      <c r="G12" s="127"/>
      <c r="H12" s="126">
        <v>1</v>
      </c>
      <c r="I12" s="126">
        <v>1</v>
      </c>
    </row>
    <row r="13" spans="1:9" x14ac:dyDescent="0.2">
      <c r="A13" s="116" t="s">
        <v>101</v>
      </c>
      <c r="B13" s="117">
        <v>2</v>
      </c>
      <c r="C13" s="118" t="s">
        <v>121</v>
      </c>
      <c r="D13" s="119">
        <v>14</v>
      </c>
      <c r="E13" s="119">
        <v>17</v>
      </c>
      <c r="F13" s="120">
        <v>12</v>
      </c>
      <c r="G13" s="121"/>
      <c r="H13" s="120"/>
      <c r="I13" s="120"/>
    </row>
    <row r="14" spans="1:9" x14ac:dyDescent="0.2">
      <c r="A14" s="122"/>
      <c r="B14" s="123">
        <v>2.5</v>
      </c>
      <c r="C14" s="124" t="s">
        <v>121</v>
      </c>
      <c r="D14" s="125">
        <v>2</v>
      </c>
      <c r="E14" s="125">
        <v>13</v>
      </c>
      <c r="F14" s="126">
        <v>6</v>
      </c>
      <c r="G14" s="127">
        <v>3</v>
      </c>
      <c r="H14" s="126">
        <v>2</v>
      </c>
      <c r="I14" s="126"/>
    </row>
    <row r="15" spans="1:9" x14ac:dyDescent="0.2">
      <c r="A15" s="122"/>
      <c r="B15" s="123"/>
      <c r="C15" s="124" t="s">
        <v>117</v>
      </c>
      <c r="D15" s="125">
        <v>6</v>
      </c>
      <c r="E15" s="125">
        <v>7</v>
      </c>
      <c r="F15" s="126">
        <v>3</v>
      </c>
      <c r="G15" s="127">
        <v>6</v>
      </c>
      <c r="H15" s="126">
        <v>1</v>
      </c>
      <c r="I15" s="126"/>
    </row>
    <row r="16" spans="1:9" x14ac:dyDescent="0.2">
      <c r="A16" s="116"/>
      <c r="B16" s="117"/>
      <c r="C16" s="118" t="s">
        <v>122</v>
      </c>
      <c r="D16" s="119"/>
      <c r="E16" s="119"/>
      <c r="F16" s="120">
        <v>3</v>
      </c>
      <c r="G16" s="121">
        <v>2</v>
      </c>
      <c r="H16" s="120"/>
      <c r="I16" s="120"/>
    </row>
    <row r="17" spans="1:9" x14ac:dyDescent="0.2">
      <c r="A17" s="122" t="s">
        <v>109</v>
      </c>
      <c r="B17" s="123">
        <v>2</v>
      </c>
      <c r="C17" s="124" t="s">
        <v>115</v>
      </c>
      <c r="D17" s="125">
        <v>21</v>
      </c>
      <c r="E17" s="125">
        <v>12</v>
      </c>
      <c r="F17" s="126">
        <v>14</v>
      </c>
      <c r="G17" s="127">
        <v>13</v>
      </c>
      <c r="H17" s="126">
        <v>14</v>
      </c>
      <c r="I17" s="126">
        <v>10</v>
      </c>
    </row>
    <row r="18" spans="1:9" x14ac:dyDescent="0.2">
      <c r="A18" s="132" t="s">
        <v>27</v>
      </c>
      <c r="B18" s="133"/>
      <c r="C18" s="134"/>
      <c r="D18" s="131">
        <v>91</v>
      </c>
      <c r="E18" s="131">
        <v>78</v>
      </c>
      <c r="F18" s="135">
        <v>102</v>
      </c>
      <c r="G18" s="130">
        <v>63</v>
      </c>
      <c r="H18" s="135"/>
      <c r="I18" s="135"/>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topLeftCell="A25" workbookViewId="0">
      <selection activeCell="H6" sqref="H6"/>
    </sheetView>
  </sheetViews>
  <sheetFormatPr defaultRowHeight="15" x14ac:dyDescent="0.2"/>
  <cols>
    <col min="1" max="1" width="22.5546875" customWidth="1"/>
  </cols>
  <sheetData>
    <row r="2" spans="1:14" ht="15.75" x14ac:dyDescent="0.25">
      <c r="A2" s="199" t="s">
        <v>290</v>
      </c>
      <c r="B2" s="200"/>
      <c r="C2" s="200"/>
      <c r="D2" s="198"/>
      <c r="E2" s="198"/>
      <c r="F2" s="1"/>
    </row>
    <row r="4" spans="1:14" ht="24.75" thickBot="1" x14ac:dyDescent="0.25">
      <c r="A4" s="142" t="s">
        <v>97</v>
      </c>
      <c r="B4" s="143" t="s">
        <v>98</v>
      </c>
      <c r="C4" s="143">
        <v>2010</v>
      </c>
      <c r="D4" s="143">
        <v>2011</v>
      </c>
      <c r="E4" s="143">
        <v>2012</v>
      </c>
      <c r="F4" s="143">
        <v>2013</v>
      </c>
      <c r="G4" s="143">
        <v>2014</v>
      </c>
      <c r="H4" s="143">
        <v>2015</v>
      </c>
      <c r="I4" s="55"/>
      <c r="J4" s="55"/>
      <c r="K4" s="55"/>
      <c r="L4" s="55"/>
      <c r="M4" s="55"/>
    </row>
    <row r="5" spans="1:14" ht="15.75" thickTop="1" x14ac:dyDescent="0.2">
      <c r="A5" s="138" t="s">
        <v>101</v>
      </c>
      <c r="B5" s="136" t="s">
        <v>99</v>
      </c>
      <c r="C5" s="136"/>
      <c r="D5" s="136"/>
      <c r="E5" s="136"/>
      <c r="F5" s="137">
        <v>1</v>
      </c>
      <c r="G5" s="136"/>
      <c r="H5" s="136"/>
      <c r="I5" s="55"/>
      <c r="J5" s="55"/>
      <c r="K5" s="55"/>
      <c r="L5" s="55"/>
      <c r="M5" s="55"/>
      <c r="N5" s="55"/>
    </row>
    <row r="6" spans="1:14" x14ac:dyDescent="0.2">
      <c r="A6" s="141" t="s">
        <v>102</v>
      </c>
      <c r="B6" s="139" t="s">
        <v>99</v>
      </c>
      <c r="C6" s="139">
        <v>1</v>
      </c>
      <c r="D6" s="139"/>
      <c r="E6" s="139"/>
      <c r="F6" s="140">
        <v>1</v>
      </c>
      <c r="G6" s="139">
        <v>1</v>
      </c>
      <c r="H6" s="139">
        <v>2</v>
      </c>
      <c r="I6" s="54"/>
      <c r="J6" s="54"/>
      <c r="K6" s="54"/>
      <c r="L6" s="54"/>
      <c r="N6" s="55"/>
    </row>
    <row r="7" spans="1:14" x14ac:dyDescent="0.2">
      <c r="A7" s="138"/>
      <c r="B7" s="136" t="s">
        <v>100</v>
      </c>
      <c r="C7" s="136">
        <v>1</v>
      </c>
      <c r="D7" s="136">
        <v>2</v>
      </c>
      <c r="E7" s="136"/>
      <c r="F7" s="137"/>
      <c r="G7" s="136"/>
      <c r="H7" s="136"/>
      <c r="I7" s="54"/>
      <c r="J7" s="54"/>
      <c r="K7" s="54"/>
      <c r="L7" s="54"/>
      <c r="M7" s="54"/>
      <c r="N7" s="55"/>
    </row>
    <row r="8" spans="1:14" x14ac:dyDescent="0.2">
      <c r="A8" s="141" t="s">
        <v>105</v>
      </c>
      <c r="B8" s="139" t="s">
        <v>99</v>
      </c>
      <c r="C8" s="139"/>
      <c r="D8" s="139"/>
      <c r="E8" s="139">
        <v>1</v>
      </c>
      <c r="F8" s="140"/>
      <c r="G8" s="139"/>
      <c r="H8" s="139"/>
      <c r="I8" s="54"/>
      <c r="J8" s="54"/>
      <c r="K8" s="54"/>
      <c r="L8" s="54"/>
      <c r="M8" s="54"/>
      <c r="N8" s="55"/>
    </row>
    <row r="9" spans="1:14" x14ac:dyDescent="0.2">
      <c r="A9" s="138"/>
      <c r="B9" s="136" t="s">
        <v>100</v>
      </c>
      <c r="C9" s="136">
        <v>1</v>
      </c>
      <c r="D9" s="136"/>
      <c r="E9" s="136"/>
      <c r="F9" s="137">
        <v>6</v>
      </c>
      <c r="G9" s="136">
        <v>3</v>
      </c>
      <c r="H9" s="136">
        <v>6</v>
      </c>
    </row>
    <row r="10" spans="1:14" x14ac:dyDescent="0.2">
      <c r="A10" s="141" t="s">
        <v>106</v>
      </c>
      <c r="B10" s="139" t="s">
        <v>99</v>
      </c>
      <c r="C10" s="139">
        <v>1</v>
      </c>
      <c r="D10" s="139"/>
      <c r="E10" s="139">
        <v>1</v>
      </c>
      <c r="F10" s="140"/>
      <c r="G10" s="139">
        <v>1</v>
      </c>
      <c r="H10" s="139">
        <v>1</v>
      </c>
      <c r="I10" s="55"/>
      <c r="J10" s="55"/>
      <c r="K10" s="55"/>
      <c r="L10" s="55"/>
    </row>
    <row r="11" spans="1:14" x14ac:dyDescent="0.2">
      <c r="A11" s="138"/>
      <c r="B11" s="136" t="s">
        <v>100</v>
      </c>
      <c r="C11" s="136">
        <v>2</v>
      </c>
      <c r="D11" s="136"/>
      <c r="E11" s="136">
        <v>1</v>
      </c>
      <c r="F11" s="137"/>
      <c r="G11" s="136"/>
      <c r="H11" s="136">
        <v>1</v>
      </c>
      <c r="I11" s="55"/>
      <c r="J11" s="55"/>
      <c r="K11" s="55"/>
      <c r="L11" s="55"/>
    </row>
    <row r="12" spans="1:14" ht="25.5" x14ac:dyDescent="0.2">
      <c r="A12" s="141" t="s">
        <v>141</v>
      </c>
      <c r="B12" s="139" t="s">
        <v>99</v>
      </c>
      <c r="C12" s="139"/>
      <c r="D12" s="139"/>
      <c r="E12" s="139"/>
      <c r="F12" s="140"/>
      <c r="G12" s="139"/>
      <c r="H12" s="139">
        <v>1</v>
      </c>
      <c r="I12" s="55"/>
      <c r="J12" s="55"/>
      <c r="K12" s="55"/>
      <c r="L12" s="55"/>
    </row>
    <row r="13" spans="1:14" x14ac:dyDescent="0.2">
      <c r="A13" s="138"/>
      <c r="B13" s="136" t="s">
        <v>100</v>
      </c>
      <c r="C13" s="136">
        <v>2</v>
      </c>
      <c r="D13" s="136"/>
      <c r="E13" s="136">
        <v>4</v>
      </c>
      <c r="F13" s="137">
        <v>2</v>
      </c>
      <c r="G13" s="136">
        <v>5</v>
      </c>
      <c r="H13" s="136">
        <v>1</v>
      </c>
    </row>
    <row r="14" spans="1:14" x14ac:dyDescent="0.2">
      <c r="A14" s="141" t="s">
        <v>27</v>
      </c>
      <c r="B14" s="139"/>
      <c r="C14" s="139">
        <v>8</v>
      </c>
      <c r="D14" s="139">
        <v>2</v>
      </c>
      <c r="E14" s="139">
        <v>7</v>
      </c>
      <c r="F14" s="140">
        <v>10</v>
      </c>
      <c r="G14" s="139">
        <v>10</v>
      </c>
      <c r="H14" s="139">
        <v>12</v>
      </c>
    </row>
  </sheetData>
  <mergeCells count="1">
    <mergeCell ref="A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4"/>
  <sheetViews>
    <sheetView workbookViewId="0">
      <selection activeCell="C25" sqref="C25"/>
    </sheetView>
  </sheetViews>
  <sheetFormatPr defaultColWidth="8.88671875" defaultRowHeight="15.75" x14ac:dyDescent="0.25"/>
  <cols>
    <col min="1" max="1" width="30.88671875" style="17" bestFit="1" customWidth="1"/>
    <col min="2" max="5" width="11.6640625" style="17" customWidth="1"/>
    <col min="6" max="6" width="10.77734375" style="93" bestFit="1" customWidth="1"/>
    <col min="7" max="7" width="11.6640625" style="17" bestFit="1" customWidth="1"/>
    <col min="8" max="8" width="13.109375" style="17" customWidth="1"/>
    <col min="9" max="9" width="10.77734375" style="17" customWidth="1"/>
    <col min="10" max="10" width="12.77734375" style="17" customWidth="1"/>
    <col min="11" max="16384" width="8.88671875" style="17"/>
  </cols>
  <sheetData>
    <row r="2" spans="1:11" x14ac:dyDescent="0.25">
      <c r="A2" s="1" t="s">
        <v>156</v>
      </c>
      <c r="D2" s="2" t="s">
        <v>0</v>
      </c>
    </row>
    <row r="4" spans="1:11" ht="24" x14ac:dyDescent="0.25">
      <c r="A4" s="3" t="s">
        <v>2</v>
      </c>
      <c r="B4" s="3" t="s">
        <v>33</v>
      </c>
      <c r="C4" s="3" t="s">
        <v>3</v>
      </c>
      <c r="D4" s="3" t="s">
        <v>4</v>
      </c>
      <c r="E4" s="3" t="s">
        <v>5</v>
      </c>
      <c r="F4" s="94" t="s">
        <v>1</v>
      </c>
      <c r="G4" s="57"/>
      <c r="H4" s="57"/>
      <c r="I4" s="57"/>
      <c r="J4" s="57"/>
      <c r="K4" s="57"/>
    </row>
    <row r="5" spans="1:11" x14ac:dyDescent="0.25">
      <c r="A5" s="4" t="s">
        <v>6</v>
      </c>
      <c r="B5" s="5">
        <f>VLOOKUP($F5,'[1]2015 PBRF Final Funding'!$A:$I,5,FALSE)</f>
        <v>48820603.863177411</v>
      </c>
      <c r="C5" s="5">
        <f>VLOOKUP($F5,'[1]2015 PBRF Final Funding'!$A:$I,7,FALSE)</f>
        <v>14746241.048604047</v>
      </c>
      <c r="D5" s="5">
        <f>VLOOKUP($F5,'[1]2015 PBRF Final Funding'!$A:$I,9,FALSE)</f>
        <v>21688869.992057454</v>
      </c>
      <c r="E5" s="6">
        <f>SUM(Table2[[#This Row],[Quality 
Evaluation]:[Research Degree Completion]])</f>
        <v>85255714.903838918</v>
      </c>
      <c r="F5" s="95">
        <v>7001</v>
      </c>
      <c r="G5" s="57"/>
      <c r="H5" s="57"/>
      <c r="I5" s="57"/>
      <c r="J5" s="57"/>
      <c r="K5" s="57"/>
    </row>
    <row r="6" spans="1:11" x14ac:dyDescent="0.25">
      <c r="A6" s="4" t="s">
        <v>38</v>
      </c>
      <c r="B6" s="5">
        <f>VLOOKUP($F6,'[1]2015 PBRF Final Funding'!$A:$I,5,FALSE)</f>
        <v>36856507.814835936</v>
      </c>
      <c r="C6" s="5">
        <f>VLOOKUP($F6,'[1]2015 PBRF Final Funding'!$A:$I,7,FALSE)</f>
        <v>9418994.1691085491</v>
      </c>
      <c r="D6" s="5">
        <f>VLOOKUP($F6,'[1]2015 PBRF Final Funding'!$A:$I,9,FALSE)</f>
        <v>11842154.334993675</v>
      </c>
      <c r="E6" s="6">
        <f>SUM(Table2[[#This Row],[Quality 
Evaluation]:[Research Degree Completion]])</f>
        <v>58117656.318938158</v>
      </c>
      <c r="F6" s="95">
        <v>7007</v>
      </c>
      <c r="G6" s="58"/>
      <c r="H6" s="58"/>
      <c r="I6" s="58"/>
      <c r="J6" s="58"/>
      <c r="K6" s="57"/>
    </row>
    <row r="7" spans="1:11" x14ac:dyDescent="0.25">
      <c r="A7" s="4" t="s">
        <v>7</v>
      </c>
      <c r="B7" s="5">
        <f>VLOOKUP($F7,'[1]2015 PBRF Final Funding'!$A:$I,5,FALSE)</f>
        <v>24163877.67728788</v>
      </c>
      <c r="C7" s="5">
        <f>VLOOKUP($F7,'[1]2015 PBRF Final Funding'!$A:$I,7,FALSE)</f>
        <v>6005361.4742061999</v>
      </c>
      <c r="D7" s="5">
        <f>VLOOKUP($F7,'[1]2015 PBRF Final Funding'!$A:$I,9,FALSE)</f>
        <v>8680947.0754127074</v>
      </c>
      <c r="E7" s="6">
        <f>SUM(Table2[[#This Row],[Quality 
Evaluation]:[Research Degree Completion]])</f>
        <v>38850186.226906784</v>
      </c>
      <c r="F7" s="95">
        <v>7003</v>
      </c>
      <c r="G7" s="58"/>
      <c r="H7" s="58"/>
      <c r="I7" s="58"/>
      <c r="J7" s="58"/>
      <c r="K7" s="57"/>
    </row>
    <row r="8" spans="1:11" x14ac:dyDescent="0.25">
      <c r="A8" s="4" t="s">
        <v>8</v>
      </c>
      <c r="B8" s="5">
        <f>VLOOKUP($F8,'[1]2015 PBRF Final Funding'!$A:$I,5,FALSE)</f>
        <v>17692378.23154534</v>
      </c>
      <c r="C8" s="5">
        <f>VLOOKUP($F8,'[1]2015 PBRF Final Funding'!$A:$I,7,FALSE)</f>
        <v>3742174.8853331646</v>
      </c>
      <c r="D8" s="5">
        <f>VLOOKUP($F8,'[1]2015 PBRF Final Funding'!$A:$I,9,FALSE)</f>
        <v>8554384.2591199949</v>
      </c>
      <c r="E8" s="6">
        <f>SUM(Table2[[#This Row],[Quality 
Evaluation]:[Research Degree Completion]])</f>
        <v>29988937.375998501</v>
      </c>
      <c r="F8" s="95">
        <v>7004</v>
      </c>
      <c r="G8" s="58"/>
      <c r="H8" s="58"/>
      <c r="I8" s="58"/>
      <c r="J8" s="58"/>
      <c r="K8" s="57"/>
    </row>
    <row r="9" spans="1:11" x14ac:dyDescent="0.25">
      <c r="A9" s="4" t="s">
        <v>37</v>
      </c>
      <c r="B9" s="5">
        <f>VLOOKUP($F9,'[1]2015 PBRF Final Funding'!$A:$I,5,FALSE)</f>
        <v>16805333.79008051</v>
      </c>
      <c r="C9" s="5">
        <f>VLOOKUP($F9,'[1]2015 PBRF Final Funding'!$A:$I,7,FALSE)</f>
        <v>2971497.6501904209</v>
      </c>
      <c r="D9" s="5">
        <f>VLOOKUP($F9,'[1]2015 PBRF Final Funding'!$A:$I,9,FALSE)</f>
        <v>8026513.3069554335</v>
      </c>
      <c r="E9" s="6">
        <f>SUM(Table2[[#This Row],[Quality 
Evaluation]:[Research Degree Completion]])</f>
        <v>27803344.747226365</v>
      </c>
      <c r="F9" s="95">
        <v>7005</v>
      </c>
      <c r="G9" s="58"/>
      <c r="H9" s="58"/>
      <c r="I9" s="58"/>
      <c r="J9" s="58"/>
      <c r="K9" s="57"/>
    </row>
    <row r="10" spans="1:11" x14ac:dyDescent="0.25">
      <c r="A10" s="4" t="s">
        <v>9</v>
      </c>
      <c r="B10" s="5">
        <f>VLOOKUP($F10,'[1]2015 PBRF Final Funding'!$A:$I,5,FALSE)</f>
        <v>9369359.3335236367</v>
      </c>
      <c r="C10" s="5">
        <f>VLOOKUP($F10,'[1]2015 PBRF Final Funding'!$A:$I,7,FALSE)</f>
        <v>2148918.2729303818</v>
      </c>
      <c r="D10" s="5">
        <f>VLOOKUP($F10,'[1]2015 PBRF Final Funding'!$A:$I,9,FALSE)</f>
        <v>4108967.5921145855</v>
      </c>
      <c r="E10" s="6">
        <f>SUM(Table2[[#This Row],[Quality 
Evaluation]:[Research Degree Completion]])</f>
        <v>15627245.198568605</v>
      </c>
      <c r="F10" s="95">
        <v>7002</v>
      </c>
      <c r="G10" s="58"/>
      <c r="H10" s="58"/>
      <c r="I10" s="58"/>
      <c r="J10" s="58"/>
      <c r="K10" s="57"/>
    </row>
    <row r="11" spans="1:11" x14ac:dyDescent="0.25">
      <c r="A11" s="4" t="s">
        <v>11</v>
      </c>
      <c r="B11" s="5">
        <f>VLOOKUP($F11,'[1]2015 PBRF Final Funding'!$A:$I,5,FALSE)</f>
        <v>8394176.4048860874</v>
      </c>
      <c r="C11" s="5">
        <f>VLOOKUP($F11,'[1]2015 PBRF Final Funding'!$A:$I,7,FALSE)</f>
        <v>952935.59593882947</v>
      </c>
      <c r="D11" s="5">
        <f>VLOOKUP($F11,'[1]2015 PBRF Final Funding'!$A:$I,9,FALSE)</f>
        <v>4486377.2091204291</v>
      </c>
      <c r="E11" s="6">
        <f>SUM(Table2[[#This Row],[Quality 
Evaluation]:[Research Degree Completion]])</f>
        <v>13833489.209945347</v>
      </c>
      <c r="F11" s="95">
        <v>7008</v>
      </c>
      <c r="G11" s="57"/>
      <c r="H11" s="57"/>
      <c r="I11" s="57"/>
      <c r="J11" s="57"/>
      <c r="K11" s="57"/>
    </row>
    <row r="12" spans="1:11" x14ac:dyDescent="0.25">
      <c r="A12" s="4" t="s">
        <v>10</v>
      </c>
      <c r="B12" s="5">
        <f>VLOOKUP($F12,'[1]2015 PBRF Final Funding'!$A:$I,5,FALSE)</f>
        <v>4692378.3395046592</v>
      </c>
      <c r="C12" s="5">
        <f>VLOOKUP($F12,'[1]2015 PBRF Final Funding'!$A:$I,7,FALSE)</f>
        <v>2790167.5918633281</v>
      </c>
      <c r="D12" s="5">
        <f>VLOOKUP($F12,'[1]2015 PBRF Final Funding'!$A:$I,9,FALSE)</f>
        <v>2367180.4310482806</v>
      </c>
      <c r="E12" s="6">
        <f>SUM(Table2[[#This Row],[Quality 
Evaluation]:[Research Degree Completion]])</f>
        <v>9849726.3624162674</v>
      </c>
      <c r="F12" s="95">
        <v>7006</v>
      </c>
      <c r="G12" s="59"/>
      <c r="H12" s="59"/>
      <c r="I12" s="59"/>
      <c r="J12" s="59"/>
      <c r="K12" s="57"/>
    </row>
    <row r="13" spans="1:11" x14ac:dyDescent="0.25">
      <c r="A13" s="4" t="s">
        <v>12</v>
      </c>
      <c r="B13" s="5">
        <f>VLOOKUP($F13,'[1]2015 PBRF Final Funding'!$A:$I,5,FALSE)</f>
        <v>2131570.6544201928</v>
      </c>
      <c r="C13" s="5">
        <f>VLOOKUP($F13,'[1]2015 PBRF Final Funding'!$A:$I,7,FALSE)</f>
        <v>26056.444331724048</v>
      </c>
      <c r="D13" s="5">
        <f>VLOOKUP($F13,'[1]2015 PBRF Final Funding'!$A:$I,9,FALSE)</f>
        <v>1142395.9470632144</v>
      </c>
      <c r="E13" s="6">
        <f>SUM(Table2[[#This Row],[Quality 
Evaluation]:[Research Degree Completion]])</f>
        <v>3300023.0458151316</v>
      </c>
      <c r="F13" s="95">
        <v>6004</v>
      </c>
      <c r="G13" s="59"/>
      <c r="H13" s="59"/>
      <c r="I13" s="59"/>
      <c r="J13" s="59"/>
      <c r="K13" s="57"/>
    </row>
    <row r="14" spans="1:11" x14ac:dyDescent="0.25">
      <c r="A14" s="4" t="s">
        <v>14</v>
      </c>
      <c r="B14" s="5">
        <f>VLOOKUP($F14,'[1]2015 PBRF Final Funding'!$A:$I,5,FALSE)</f>
        <v>869893.1290014619</v>
      </c>
      <c r="C14" s="5">
        <f>VLOOKUP($F14,'[1]2015 PBRF Final Funding'!$A:$I,7,FALSE)</f>
        <v>124965.80352409312</v>
      </c>
      <c r="D14" s="5">
        <f>VLOOKUP($F14,'[1]2015 PBRF Final Funding'!$A:$I,9,FALSE)</f>
        <v>152214.28275278368</v>
      </c>
      <c r="E14" s="6">
        <f>SUM(Table2[[#This Row],[Quality 
Evaluation]:[Research Degree Completion]])</f>
        <v>1147073.2152783386</v>
      </c>
      <c r="F14" s="95">
        <v>6013</v>
      </c>
      <c r="G14" s="59"/>
      <c r="H14" s="59"/>
      <c r="I14" s="59"/>
      <c r="J14" s="59"/>
      <c r="K14" s="57"/>
    </row>
    <row r="15" spans="1:11" x14ac:dyDescent="0.25">
      <c r="A15" s="4" t="s">
        <v>13</v>
      </c>
      <c r="B15" s="5">
        <f>VLOOKUP($F15,'[1]2015 PBRF Final Funding'!$A:$I,5,FALSE)</f>
        <v>288202.00630315678</v>
      </c>
      <c r="C15" s="5">
        <f>VLOOKUP($F15,'[1]2015 PBRF Final Funding'!$A:$I,7,FALSE)</f>
        <v>20666.915496772344</v>
      </c>
      <c r="D15" s="5">
        <f>VLOOKUP($F15,'[1]2015 PBRF Final Funding'!$A:$I,9,FALSE)</f>
        <v>328151.78961214336</v>
      </c>
      <c r="E15" s="6">
        <f>SUM(Table2[[#This Row],[Quality 
Evaluation]:[Research Degree Completion]])</f>
        <v>637020.71141207241</v>
      </c>
      <c r="F15" s="95">
        <v>6019</v>
      </c>
      <c r="G15" s="59"/>
      <c r="H15" s="59"/>
      <c r="I15" s="59"/>
      <c r="J15" s="59"/>
      <c r="K15" s="57"/>
    </row>
    <row r="16" spans="1:11" x14ac:dyDescent="0.25">
      <c r="A16" s="4" t="s">
        <v>19</v>
      </c>
      <c r="B16" s="5">
        <f>VLOOKUP($F16,'[1]2015 PBRF Final Funding'!$A:$I,5,FALSE)</f>
        <v>475260.77895216789</v>
      </c>
      <c r="C16" s="5">
        <f>VLOOKUP($F16,'[1]2015 PBRF Final Funding'!$A:$I,7,FALSE)</f>
        <v>31482.144889938118</v>
      </c>
      <c r="D16" s="5">
        <f>VLOOKUP($F16,'[1]2015 PBRF Final Funding'!$A:$I,9,FALSE)</f>
        <v>73799.093710850619</v>
      </c>
      <c r="E16" s="6">
        <f>SUM(Table2[[#This Row],[Quality 
Evaluation]:[Research Degree Completion]])</f>
        <v>580542.01755295659</v>
      </c>
      <c r="F16" s="95">
        <v>6007</v>
      </c>
      <c r="G16" s="60"/>
      <c r="H16" s="60"/>
      <c r="I16" s="60"/>
      <c r="J16" s="60"/>
      <c r="K16" s="57"/>
    </row>
    <row r="17" spans="1:11" x14ac:dyDescent="0.25">
      <c r="A17" s="4" t="s">
        <v>16</v>
      </c>
      <c r="B17" s="5">
        <f>VLOOKUP($F17,'[1]2015 PBRF Final Funding'!$A:$I,5,FALSE)</f>
        <v>473046.46093683637</v>
      </c>
      <c r="C17" s="5">
        <f>VLOOKUP($F17,'[1]2015 PBRF Final Funding'!$A:$I,7,FALSE)</f>
        <v>11067.202354765332</v>
      </c>
      <c r="D17" s="5">
        <f>VLOOKUP($F17,'[1]2015 PBRF Final Funding'!$A:$I,9,FALSE)</f>
        <v>0</v>
      </c>
      <c r="E17" s="6">
        <f>SUM(Table2[[#This Row],[Quality 
Evaluation]:[Research Degree Completion]])</f>
        <v>484113.6632916017</v>
      </c>
      <c r="F17" s="95">
        <v>6006</v>
      </c>
      <c r="G17" s="57"/>
      <c r="H17" s="57"/>
      <c r="I17" s="57"/>
      <c r="J17" s="57"/>
      <c r="K17" s="57"/>
    </row>
    <row r="18" spans="1:11" x14ac:dyDescent="0.25">
      <c r="A18" s="18" t="s">
        <v>40</v>
      </c>
      <c r="B18" s="5">
        <f>VLOOKUP($F18,'[1]2015 PBRF Final Funding'!$A:$I,5,FALSE)</f>
        <v>151663.7508347109</v>
      </c>
      <c r="C18" s="5">
        <f>VLOOKUP($F18,'[1]2015 PBRF Final Funding'!$A:$I,7,FALSE)</f>
        <v>59869.462520464767</v>
      </c>
      <c r="D18" s="5">
        <f>VLOOKUP($F18,'[1]2015 PBRF Final Funding'!$A:$I,9,FALSE)</f>
        <v>316991.35659648821</v>
      </c>
      <c r="E18" s="6">
        <f>SUM(Table2[[#This Row],[Quality 
Evaluation]:[Research Degree Completion]])</f>
        <v>528524.56995166384</v>
      </c>
      <c r="F18" s="95">
        <v>9386</v>
      </c>
      <c r="G18" s="57"/>
      <c r="H18" s="57"/>
      <c r="I18" s="57"/>
      <c r="J18" s="57"/>
      <c r="K18" s="57"/>
    </row>
    <row r="19" spans="1:11" x14ac:dyDescent="0.25">
      <c r="A19" s="4" t="s">
        <v>15</v>
      </c>
      <c r="B19" s="5">
        <f>VLOOKUP($F19,'[1]2015 PBRF Final Funding'!$A:$I,5,FALSE)</f>
        <v>389140.84137127188</v>
      </c>
      <c r="C19" s="5">
        <f>VLOOKUP($F19,'[1]2015 PBRF Final Funding'!$A:$I,7,FALSE)</f>
        <v>4123.0793653531982</v>
      </c>
      <c r="D19" s="5">
        <f>VLOOKUP($F19,'[1]2015 PBRF Final Funding'!$A:$I,9,FALSE)</f>
        <v>0</v>
      </c>
      <c r="E19" s="6">
        <f>SUM(Table2[[#This Row],[Quality 
Evaluation]:[Research Degree Completion]])</f>
        <v>393263.92073662509</v>
      </c>
      <c r="F19" s="95">
        <v>6010</v>
      </c>
      <c r="G19" s="57"/>
      <c r="H19" s="57"/>
      <c r="I19" s="57"/>
      <c r="J19" s="57"/>
      <c r="K19" s="57"/>
    </row>
    <row r="20" spans="1:11" x14ac:dyDescent="0.25">
      <c r="A20" s="4" t="s">
        <v>17</v>
      </c>
      <c r="B20" s="5">
        <f>VLOOKUP($F20,'[1]2015 PBRF Final Funding'!$A:$I,5,FALSE)</f>
        <v>149756.03069842519</v>
      </c>
      <c r="C20" s="5">
        <f>VLOOKUP($F20,'[1]2015 PBRF Final Funding'!$A:$I,7,FALSE)</f>
        <v>0</v>
      </c>
      <c r="D20" s="5">
        <f>VLOOKUP($F20,'[1]2015 PBRF Final Funding'!$A:$I,9,FALSE)</f>
        <v>78882.641733688302</v>
      </c>
      <c r="E20" s="6">
        <f>SUM(Table2[[#This Row],[Quality 
Evaluation]:[Research Degree Completion]])</f>
        <v>228638.6724321135</v>
      </c>
      <c r="F20" s="95">
        <v>8509</v>
      </c>
      <c r="G20" s="57"/>
      <c r="H20" s="57"/>
      <c r="I20" s="57"/>
      <c r="J20" s="57"/>
      <c r="K20" s="57"/>
    </row>
    <row r="21" spans="1:11" x14ac:dyDescent="0.25">
      <c r="A21" s="4" t="s">
        <v>20</v>
      </c>
      <c r="B21" s="5">
        <f>VLOOKUP($F21,'[1]2015 PBRF Final Funding'!$A:$I,5,FALSE)</f>
        <v>160793.55434407803</v>
      </c>
      <c r="C21" s="5">
        <f>VLOOKUP($F21,'[1]2015 PBRF Final Funding'!$A:$I,7,FALSE)</f>
        <v>13379.578534235723</v>
      </c>
      <c r="D21" s="5">
        <f>VLOOKUP($F21,'[1]2015 PBRF Final Funding'!$A:$I,9,FALSE)</f>
        <v>0</v>
      </c>
      <c r="E21" s="6">
        <f>SUM(Table2[[#This Row],[Quality 
Evaluation]:[Research Degree Completion]])</f>
        <v>174173.13287831374</v>
      </c>
      <c r="F21" s="95">
        <v>6014</v>
      </c>
      <c r="G21" s="57"/>
      <c r="H21" s="57"/>
      <c r="I21" s="57"/>
      <c r="J21" s="57"/>
      <c r="K21" s="57"/>
    </row>
    <row r="22" spans="1:11" x14ac:dyDescent="0.25">
      <c r="A22" s="4" t="s">
        <v>41</v>
      </c>
      <c r="B22" s="5">
        <f>VLOOKUP($F22,'[1]2015 PBRF Final Funding'!$A:$I,5,FALSE)</f>
        <v>121412.76010218094</v>
      </c>
      <c r="C22" s="5">
        <f>VLOOKUP($F22,'[1]2015 PBRF Final Funding'!$A:$I,7,FALSE)</f>
        <v>32178.756703451727</v>
      </c>
      <c r="D22" s="5">
        <f>VLOOKUP($F22,'[1]2015 PBRF Final Funding'!$A:$I,9,FALSE)</f>
        <v>0</v>
      </c>
      <c r="E22" s="6">
        <f>SUM(Table2[[#This Row],[Quality 
Evaluation]:[Research Degree Completion]])</f>
        <v>153591.51680563268</v>
      </c>
      <c r="F22" s="95">
        <v>6008</v>
      </c>
      <c r="G22" s="57"/>
      <c r="H22" s="57"/>
      <c r="I22" s="57"/>
      <c r="J22" s="57"/>
      <c r="K22" s="57"/>
    </row>
    <row r="23" spans="1:11" x14ac:dyDescent="0.25">
      <c r="A23" s="4" t="s">
        <v>18</v>
      </c>
      <c r="B23" s="5">
        <f>VLOOKUP($F23,'[1]2015 PBRF Final Funding'!$A:$I,5,FALSE)</f>
        <v>152617.61090285372</v>
      </c>
      <c r="C23" s="5">
        <f>VLOOKUP($F23,'[1]2015 PBRF Final Funding'!$A:$I,7,FALSE)</f>
        <v>4114.7542067011109</v>
      </c>
      <c r="D23" s="5">
        <f>VLOOKUP($F23,'[1]2015 PBRF Final Funding'!$A:$I,9,FALSE)</f>
        <v>0</v>
      </c>
      <c r="E23" s="6">
        <f>SUM(Table2[[#This Row],[Quality 
Evaluation]:[Research Degree Completion]])</f>
        <v>156732.36510955484</v>
      </c>
      <c r="F23" s="95">
        <v>6022</v>
      </c>
      <c r="G23" s="57"/>
      <c r="H23" s="57"/>
      <c r="I23" s="57"/>
      <c r="J23" s="57"/>
      <c r="K23" s="57"/>
    </row>
    <row r="24" spans="1:11" x14ac:dyDescent="0.25">
      <c r="A24" s="4" t="s">
        <v>22</v>
      </c>
      <c r="B24" s="5">
        <f>VLOOKUP($F24,'[1]2015 PBRF Final Funding'!$A:$I,5,FALSE)</f>
        <v>98792.649914793714</v>
      </c>
      <c r="C24" s="5">
        <f>VLOOKUP($F24,'[1]2015 PBRF Final Funding'!$A:$I,7,FALSE)</f>
        <v>584.83754991662011</v>
      </c>
      <c r="D24" s="5">
        <f>VLOOKUP($F24,'[1]2015 PBRF Final Funding'!$A:$I,9,FALSE)</f>
        <v>0</v>
      </c>
      <c r="E24" s="6">
        <f>SUM(Table2[[#This Row],[Quality 
Evaluation]:[Research Degree Completion]])</f>
        <v>99377.487464710328</v>
      </c>
      <c r="F24" s="95">
        <v>6012</v>
      </c>
      <c r="G24" s="57"/>
      <c r="H24" s="57"/>
      <c r="I24" s="57"/>
      <c r="J24" s="57"/>
      <c r="K24" s="57"/>
    </row>
    <row r="25" spans="1:11" x14ac:dyDescent="0.25">
      <c r="A25" s="4" t="s">
        <v>21</v>
      </c>
      <c r="B25" s="5">
        <f>VLOOKUP($F25,'[1]2015 PBRF Final Funding'!$A:$I,5,FALSE)</f>
        <v>70858.176490610655</v>
      </c>
      <c r="C25" s="5">
        <f>VLOOKUP($F25,'[1]2015 PBRF Final Funding'!$A:$I,7,FALSE)</f>
        <v>2803.2381010917302</v>
      </c>
      <c r="D25" s="5">
        <f>VLOOKUP($F25,'[1]2015 PBRF Final Funding'!$A:$I,9,FALSE)</f>
        <v>27170.68770827042</v>
      </c>
      <c r="E25" s="6">
        <f>SUM(Table2[[#This Row],[Quality 
Evaluation]:[Research Degree Completion]])</f>
        <v>100832.1022999728</v>
      </c>
      <c r="F25" s="95">
        <v>8563</v>
      </c>
    </row>
    <row r="26" spans="1:11" x14ac:dyDescent="0.25">
      <c r="A26" s="4" t="s">
        <v>23</v>
      </c>
      <c r="B26" s="5">
        <f>VLOOKUP($F26,'[1]2015 PBRF Final Funding'!$A:$I,5,FALSE)</f>
        <v>51099.646507651909</v>
      </c>
      <c r="C26" s="5">
        <f>VLOOKUP($F26,'[1]2015 PBRF Final Funding'!$A:$I,7,FALSE)</f>
        <v>0</v>
      </c>
      <c r="D26" s="5">
        <f>VLOOKUP($F26,'[1]2015 PBRF Final Funding'!$A:$I,9,FALSE)</f>
        <v>0</v>
      </c>
      <c r="E26" s="6">
        <f>SUM(Table2[[#This Row],[Quality 
Evaluation]:[Research Degree Completion]])</f>
        <v>51099.646507651909</v>
      </c>
      <c r="F26" s="95">
        <v>8979</v>
      </c>
    </row>
    <row r="27" spans="1:11" x14ac:dyDescent="0.25">
      <c r="A27" s="4" t="s">
        <v>25</v>
      </c>
      <c r="B27" s="5">
        <f>VLOOKUP($F27,'[1]2015 PBRF Final Funding'!$A:$I,5,FALSE)</f>
        <v>39517.059965917484</v>
      </c>
      <c r="C27" s="5">
        <f>VLOOKUP($F27,'[1]2015 PBRF Final Funding'!$A:$I,7,FALSE)</f>
        <v>0</v>
      </c>
      <c r="D27" s="5">
        <f>VLOOKUP($F27,'[1]2015 PBRF Final Funding'!$A:$I,9,FALSE)</f>
        <v>0</v>
      </c>
      <c r="E27" s="6">
        <f>SUM(Table2[[#This Row],[Quality 
Evaluation]:[Research Degree Completion]])</f>
        <v>39517.059965917484</v>
      </c>
      <c r="F27" s="95">
        <v>8530</v>
      </c>
    </row>
    <row r="28" spans="1:11" x14ac:dyDescent="0.25">
      <c r="A28" s="4" t="s">
        <v>42</v>
      </c>
      <c r="B28" s="5">
        <f>VLOOKUP($F28,'[1]2015 PBRF Final Funding'!$A:$I,5,FALSE)</f>
        <v>27253.144804081021</v>
      </c>
      <c r="C28" s="5">
        <f>VLOOKUP($F28,'[1]2015 PBRF Final Funding'!$A:$I,7,FALSE)</f>
        <v>8323.5711252820984</v>
      </c>
      <c r="D28" s="5">
        <f>VLOOKUP($F28,'[1]2015 PBRF Final Funding'!$A:$I,9,FALSE)</f>
        <v>0</v>
      </c>
      <c r="E28" s="6">
        <f>SUM(Table2[[#This Row],[Quality 
Evaluation]:[Research Degree Completion]])</f>
        <v>35576.715929363119</v>
      </c>
      <c r="F28" s="95">
        <v>8396</v>
      </c>
    </row>
    <row r="29" spans="1:11" x14ac:dyDescent="0.25">
      <c r="A29" s="4" t="s">
        <v>24</v>
      </c>
      <c r="B29" s="5">
        <f>VLOOKUP($F29,'[1]2015 PBRF Final Funding'!$A:$I,5,FALSE)</f>
        <v>20439.858603060766</v>
      </c>
      <c r="C29" s="5">
        <f>VLOOKUP($F29,'[1]2015 PBRF Final Funding'!$A:$I,7,FALSE)</f>
        <v>6890.1963061222468</v>
      </c>
      <c r="D29" s="5">
        <f>VLOOKUP($F29,'[1]2015 PBRF Final Funding'!$A:$I,9,FALSE)</f>
        <v>0</v>
      </c>
      <c r="E29" s="6">
        <f>SUM(Table2[[#This Row],[Quality 
Evaluation]:[Research Degree Completion]])</f>
        <v>27330.054909183011</v>
      </c>
      <c r="F29" s="95">
        <v>8694</v>
      </c>
    </row>
    <row r="30" spans="1:11" x14ac:dyDescent="0.25">
      <c r="A30" s="4" t="s">
        <v>43</v>
      </c>
      <c r="B30" s="5">
        <f>VLOOKUP($F30,'[1]2015 PBRF Final Funding'!$A:$I,5,FALSE)</f>
        <v>20439.858603060766</v>
      </c>
      <c r="C30" s="5">
        <f>VLOOKUP($F30,'[1]2015 PBRF Final Funding'!$A:$I,7,FALSE)</f>
        <v>2203.3268151622046</v>
      </c>
      <c r="D30" s="5">
        <f>VLOOKUP($F30,'[1]2015 PBRF Final Funding'!$A:$I,9,FALSE)</f>
        <v>0</v>
      </c>
      <c r="E30" s="6">
        <f>SUM(Table2[[#This Row],[Quality 
Evaluation]:[Research Degree Completion]])</f>
        <v>22643.185418222969</v>
      </c>
      <c r="F30" s="95">
        <v>8619</v>
      </c>
    </row>
    <row r="31" spans="1:11" x14ac:dyDescent="0.25">
      <c r="A31" s="4" t="s">
        <v>26</v>
      </c>
      <c r="B31" s="5">
        <f>VLOOKUP($F31,'[1]2015 PBRF Final Funding'!$A:$I,5,FALSE)</f>
        <v>13626.57240204051</v>
      </c>
      <c r="C31" s="5">
        <f>VLOOKUP($F31,'[1]2015 PBRF Final Funding'!$A:$I,7,FALSE)</f>
        <v>0</v>
      </c>
      <c r="D31" s="5">
        <f>VLOOKUP($F31,'[1]2015 PBRF Final Funding'!$A:$I,9,FALSE)</f>
        <v>0</v>
      </c>
      <c r="E31" s="6">
        <f>SUM(Table2[[#This Row],[Quality 
Evaluation]:[Research Degree Completion]])</f>
        <v>13626.57240204051</v>
      </c>
      <c r="F31" s="95">
        <v>8717</v>
      </c>
    </row>
    <row r="32" spans="1:11" x14ac:dyDescent="0.25">
      <c r="A32" s="7" t="s">
        <v>27</v>
      </c>
      <c r="B32" s="6">
        <f>SUBTOTAL(109,B5:B31)</f>
        <v>172500000.00000003</v>
      </c>
      <c r="C32" s="6">
        <f t="shared" ref="C32:E32" si="0">SUBTOTAL(109,C5:C31)</f>
        <v>43125000.000000007</v>
      </c>
      <c r="D32" s="6">
        <f t="shared" si="0"/>
        <v>71874999.999999985</v>
      </c>
      <c r="E32" s="6">
        <f t="shared" si="0"/>
        <v>287500000.00000006</v>
      </c>
      <c r="F32" s="95"/>
    </row>
    <row r="34" spans="3:3" x14ac:dyDescent="0.25">
      <c r="C34" s="20"/>
    </row>
  </sheetData>
  <pageMargins left="0.70866141732283472" right="0.70866141732283472" top="0.74803149606299213" bottom="0.74803149606299213" header="0.31496062992125984" footer="0.31496062992125984"/>
  <pageSetup paperSize="9" scale="84"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2"/>
  <sheetViews>
    <sheetView workbookViewId="0">
      <selection activeCell="D26" sqref="D26"/>
    </sheetView>
  </sheetViews>
  <sheetFormatPr defaultRowHeight="15" x14ac:dyDescent="0.2"/>
  <cols>
    <col min="1" max="1" width="30.88671875" bestFit="1" customWidth="1"/>
    <col min="2" max="2" width="11.6640625" customWidth="1"/>
    <col min="3" max="3" width="11.44140625" customWidth="1"/>
    <col min="4" max="4" width="11.6640625" customWidth="1"/>
    <col min="7" max="7" width="13.109375" bestFit="1" customWidth="1"/>
    <col min="8" max="8" width="13.109375" customWidth="1"/>
    <col min="9" max="9" width="15.21875" customWidth="1"/>
    <col min="11" max="11" width="13.109375" bestFit="1" customWidth="1"/>
    <col min="12" max="12" width="17.88671875" customWidth="1"/>
  </cols>
  <sheetData>
    <row r="2" spans="1:13" ht="15.75" x14ac:dyDescent="0.25">
      <c r="A2" s="1" t="s">
        <v>157</v>
      </c>
      <c r="D2" s="2" t="s">
        <v>0</v>
      </c>
    </row>
    <row r="3" spans="1:13" x14ac:dyDescent="0.2">
      <c r="I3" s="61"/>
      <c r="J3" s="61"/>
      <c r="K3" s="61"/>
      <c r="L3" s="61"/>
      <c r="M3" s="61"/>
    </row>
    <row r="4" spans="1:13" ht="28.5" customHeight="1" x14ac:dyDescent="0.2">
      <c r="A4" s="3" t="s">
        <v>2</v>
      </c>
      <c r="B4" s="3" t="s">
        <v>158</v>
      </c>
      <c r="C4" s="3" t="s">
        <v>159</v>
      </c>
      <c r="D4" s="3" t="s">
        <v>44</v>
      </c>
      <c r="I4" s="61"/>
      <c r="J4" s="61"/>
      <c r="K4" s="61"/>
      <c r="L4" s="61"/>
      <c r="M4" s="61"/>
    </row>
    <row r="5" spans="1:13" x14ac:dyDescent="0.2">
      <c r="A5" s="4" t="s">
        <v>6</v>
      </c>
      <c r="B5" s="5">
        <f>VLOOKUP(Table23[[#This Row],[TEOs]],'[2]1.2'!$A:$C,3,FALSE)</f>
        <v>82982995.399999991</v>
      </c>
      <c r="C5" s="5">
        <f>VLOOKUP(Table23[[#This Row],[TEOs]],'1.1'!$A:$E,5,FALSE)</f>
        <v>85255714.903838918</v>
      </c>
      <c r="D5" s="5">
        <f>Table23[[#This Row],[Total Funding
 2015]]-Table23[[#This Row],[Total Funding 
2014]]</f>
        <v>2272719.5038389266</v>
      </c>
      <c r="G5" s="56"/>
      <c r="H5" s="105"/>
      <c r="I5" s="56"/>
      <c r="J5" s="105"/>
      <c r="K5" s="62"/>
      <c r="L5" s="62"/>
      <c r="M5" s="63"/>
    </row>
    <row r="6" spans="1:13" x14ac:dyDescent="0.2">
      <c r="A6" s="4" t="s">
        <v>38</v>
      </c>
      <c r="B6" s="5">
        <f>VLOOKUP(Table23[[#This Row],[TEOs]],'[2]1.2'!$A:$C,3,FALSE)</f>
        <v>55676972.790000007</v>
      </c>
      <c r="C6" s="5">
        <f>VLOOKUP(Table23[[#This Row],[TEOs]],'1.1'!$A:$E,5,FALSE)</f>
        <v>58117656.318938158</v>
      </c>
      <c r="D6" s="5">
        <f>Table23[[#This Row],[Total Funding
 2015]]-Table23[[#This Row],[Total Funding 
2014]]</f>
        <v>2440683.5289381519</v>
      </c>
      <c r="G6" s="56"/>
      <c r="H6" s="105"/>
      <c r="I6" s="56"/>
      <c r="J6" s="105"/>
      <c r="K6" s="62"/>
      <c r="L6" s="62"/>
      <c r="M6" s="63"/>
    </row>
    <row r="7" spans="1:13" x14ac:dyDescent="0.2">
      <c r="A7" s="4" t="s">
        <v>7</v>
      </c>
      <c r="B7" s="5">
        <f>VLOOKUP(Table23[[#This Row],[TEOs]],'[2]1.2'!$A:$C,3,FALSE)</f>
        <v>36582620.520000003</v>
      </c>
      <c r="C7" s="5">
        <f>VLOOKUP(Table23[[#This Row],[TEOs]],'1.1'!$A:$E,5,FALSE)</f>
        <v>38850186.226906784</v>
      </c>
      <c r="D7" s="5">
        <f>Table23[[#This Row],[Total Funding
 2015]]-Table23[[#This Row],[Total Funding 
2014]]</f>
        <v>2267565.7069067806</v>
      </c>
      <c r="G7" s="56"/>
      <c r="H7" s="105"/>
      <c r="I7" s="56"/>
      <c r="J7" s="105"/>
      <c r="K7" s="62"/>
      <c r="L7" s="62"/>
      <c r="M7" s="63"/>
    </row>
    <row r="8" spans="1:13" x14ac:dyDescent="0.2">
      <c r="A8" s="4" t="s">
        <v>8</v>
      </c>
      <c r="B8" s="5">
        <f>VLOOKUP(Table23[[#This Row],[TEOs]],'[2]1.2'!$A:$C,3,FALSE)</f>
        <v>28877797.409999996</v>
      </c>
      <c r="C8" s="5">
        <f>VLOOKUP(Table23[[#This Row],[TEOs]],'1.1'!$A:$E,5,FALSE)</f>
        <v>29988937.375998501</v>
      </c>
      <c r="D8" s="5">
        <f>Table23[[#This Row],[Total Funding
 2015]]-Table23[[#This Row],[Total Funding 
2014]]</f>
        <v>1111139.9659985043</v>
      </c>
      <c r="G8" s="56"/>
      <c r="H8" s="105"/>
      <c r="I8" s="56"/>
      <c r="J8" s="105"/>
      <c r="K8" s="62"/>
      <c r="L8" s="62"/>
      <c r="M8" s="63"/>
    </row>
    <row r="9" spans="1:13" x14ac:dyDescent="0.2">
      <c r="A9" s="4" t="s">
        <v>37</v>
      </c>
      <c r="B9" s="5">
        <f>VLOOKUP(Table23[[#This Row],[TEOs]],'[2]1.2'!$A:$C,3,FALSE)</f>
        <v>25711390.049999997</v>
      </c>
      <c r="C9" s="5">
        <f>VLOOKUP(Table23[[#This Row],[TEOs]],'1.1'!$A:$E,5,FALSE)</f>
        <v>27803344.747226365</v>
      </c>
      <c r="D9" s="5">
        <f>Table23[[#This Row],[Total Funding
 2015]]-Table23[[#This Row],[Total Funding 
2014]]</f>
        <v>2091954.6972263679</v>
      </c>
      <c r="G9" s="56"/>
      <c r="H9" s="105"/>
      <c r="I9" s="56"/>
      <c r="J9" s="105"/>
      <c r="K9" s="61"/>
      <c r="L9" s="61"/>
      <c r="M9" s="61"/>
    </row>
    <row r="10" spans="1:13" x14ac:dyDescent="0.2">
      <c r="A10" s="4" t="s">
        <v>9</v>
      </c>
      <c r="B10" s="5">
        <f>VLOOKUP(Table23[[#This Row],[TEOs]],'[2]1.2'!$A:$C,3,FALSE)</f>
        <v>15319865.010000002</v>
      </c>
      <c r="C10" s="5">
        <f>VLOOKUP(Table23[[#This Row],[TEOs]],'1.1'!$A:$E,5,FALSE)</f>
        <v>15627245.198568605</v>
      </c>
      <c r="D10" s="5">
        <f>Table23[[#This Row],[Total Funding
 2015]]-Table23[[#This Row],[Total Funding 
2014]]</f>
        <v>307380.18856860325</v>
      </c>
    </row>
    <row r="11" spans="1:13" x14ac:dyDescent="0.2">
      <c r="A11" s="4" t="s">
        <v>11</v>
      </c>
      <c r="B11" s="5">
        <f>VLOOKUP(Table23[[#This Row],[TEOs]],'[2]1.2'!$A:$C,3,FALSE)</f>
        <v>13026526.68</v>
      </c>
      <c r="C11" s="5">
        <f>VLOOKUP(Table23[[#This Row],[TEOs]],'1.1'!$A:$E,5,FALSE)</f>
        <v>13833489.209945347</v>
      </c>
      <c r="D11" s="5">
        <f>Table23[[#This Row],[Total Funding
 2015]]-Table23[[#This Row],[Total Funding 
2014]]</f>
        <v>806962.52994534746</v>
      </c>
      <c r="L11" s="56"/>
    </row>
    <row r="12" spans="1:13" x14ac:dyDescent="0.2">
      <c r="A12" s="4" t="s">
        <v>10</v>
      </c>
      <c r="B12" s="5">
        <f>VLOOKUP(Table23[[#This Row],[TEOs]],'[2]1.2'!$A:$C,3,FALSE)</f>
        <v>9141610.8900000006</v>
      </c>
      <c r="C12" s="5">
        <f>VLOOKUP(Table23[[#This Row],[TEOs]],'1.1'!$A:$E,5,FALSE)</f>
        <v>9849726.3624162674</v>
      </c>
      <c r="D12" s="5">
        <f>Table23[[#This Row],[Total Funding
 2015]]-Table23[[#This Row],[Total Funding 
2014]]</f>
        <v>708115.4724162668</v>
      </c>
    </row>
    <row r="13" spans="1:13" x14ac:dyDescent="0.2">
      <c r="A13" s="4" t="s">
        <v>12</v>
      </c>
      <c r="B13" s="5">
        <f>VLOOKUP(Table23[[#This Row],[TEOs]],'[2]1.2'!$A:$C,3,FALSE)</f>
        <v>3137745.95</v>
      </c>
      <c r="C13" s="5">
        <f>VLOOKUP(Table23[[#This Row],[TEOs]],'1.1'!$A:$E,5,FALSE)</f>
        <v>3300023.0458151316</v>
      </c>
      <c r="D13" s="5">
        <f>Table23[[#This Row],[Total Funding
 2015]]-Table23[[#This Row],[Total Funding 
2014]]</f>
        <v>162277.09581513144</v>
      </c>
    </row>
    <row r="14" spans="1:13" x14ac:dyDescent="0.2">
      <c r="A14" s="4" t="s">
        <v>14</v>
      </c>
      <c r="B14" s="5">
        <f>VLOOKUP(Table23[[#This Row],[TEOs]],'[2]1.2'!$A:$C,3,FALSE)</f>
        <v>1141869.78</v>
      </c>
      <c r="C14" s="5">
        <f>VLOOKUP(Table23[[#This Row],[TEOs]],'1.1'!$A:$E,5,FALSE)</f>
        <v>1147073.2152783386</v>
      </c>
      <c r="D14" s="5">
        <f>Table23[[#This Row],[Total Funding
 2015]]-Table23[[#This Row],[Total Funding 
2014]]</f>
        <v>5203.435278338613</v>
      </c>
    </row>
    <row r="15" spans="1:13" x14ac:dyDescent="0.2">
      <c r="A15" s="4" t="s">
        <v>13</v>
      </c>
      <c r="B15" s="5">
        <f>VLOOKUP(Table23[[#This Row],[TEOs]],'[2]1.2'!$A:$C,3,FALSE)</f>
        <v>563354.47</v>
      </c>
      <c r="C15" s="5">
        <f>VLOOKUP(Table23[[#This Row],[TEOs]],'1.1'!$A:$E,5,FALSE)</f>
        <v>637020.71141207241</v>
      </c>
      <c r="D15" s="5">
        <f>Table23[[#This Row],[Total Funding
 2015]]-Table23[[#This Row],[Total Funding 
2014]]</f>
        <v>73666.241412072442</v>
      </c>
    </row>
    <row r="16" spans="1:13" x14ac:dyDescent="0.2">
      <c r="A16" s="4" t="s">
        <v>19</v>
      </c>
      <c r="B16" s="5">
        <f>VLOOKUP(Table23[[#This Row],[TEOs]],'[2]1.2'!$A:$C,3,FALSE)</f>
        <v>479770.59</v>
      </c>
      <c r="C16" s="5">
        <f>VLOOKUP(Table23[[#This Row],[TEOs]],'1.1'!$A:$E,5,FALSE)</f>
        <v>580542.01755295659</v>
      </c>
      <c r="D16" s="5">
        <f>Table23[[#This Row],[Total Funding
 2015]]-Table23[[#This Row],[Total Funding 
2014]]</f>
        <v>100771.42755295656</v>
      </c>
    </row>
    <row r="17" spans="1:13" x14ac:dyDescent="0.2">
      <c r="A17" s="18" t="s">
        <v>40</v>
      </c>
      <c r="B17" s="5">
        <f>VLOOKUP(Table23[[#This Row],[TEOs]],'[2]1.2'!$A:$C,3,FALSE)</f>
        <v>434908.26</v>
      </c>
      <c r="C17" s="5">
        <f>VLOOKUP(Table23[[#This Row],[TEOs]],'1.1'!$A:$E,5,FALSE)</f>
        <v>528524.56995166384</v>
      </c>
      <c r="D17" s="5">
        <f>Table23[[#This Row],[Total Funding
 2015]]-Table23[[#This Row],[Total Funding 
2014]]</f>
        <v>93616.309951663832</v>
      </c>
    </row>
    <row r="18" spans="1:13" x14ac:dyDescent="0.2">
      <c r="A18" s="4" t="s">
        <v>16</v>
      </c>
      <c r="B18" s="5">
        <f>VLOOKUP(Table23[[#This Row],[TEOs]],'[2]1.2'!$A:$C,3,FALSE)</f>
        <v>469464.95999999996</v>
      </c>
      <c r="C18" s="5">
        <f>VLOOKUP(Table23[[#This Row],[TEOs]],'1.1'!$A:$E,5,FALSE)</f>
        <v>484113.6632916017</v>
      </c>
      <c r="D18" s="5">
        <f>Table23[[#This Row],[Total Funding
 2015]]-Table23[[#This Row],[Total Funding 
2014]]</f>
        <v>14648.703291601734</v>
      </c>
    </row>
    <row r="19" spans="1:13" x14ac:dyDescent="0.2">
      <c r="A19" s="4" t="s">
        <v>15</v>
      </c>
      <c r="B19" s="5">
        <f>VLOOKUP(Table23[[#This Row],[TEOs]],'[2]1.2'!$A:$C,3,FALSE)</f>
        <v>381388.49</v>
      </c>
      <c r="C19" s="5">
        <f>VLOOKUP(Table23[[#This Row],[TEOs]],'1.1'!$A:$E,5,FALSE)</f>
        <v>393263.92073662509</v>
      </c>
      <c r="D19" s="5">
        <f>Table23[[#This Row],[Total Funding
 2015]]-Table23[[#This Row],[Total Funding 
2014]]</f>
        <v>11875.430736625101</v>
      </c>
    </row>
    <row r="20" spans="1:13" x14ac:dyDescent="0.2">
      <c r="A20" s="4" t="s">
        <v>17</v>
      </c>
      <c r="B20" s="5">
        <f>VLOOKUP(Table23[[#This Row],[TEOs]],'[2]1.2'!$A:$C,3,FALSE)</f>
        <v>208269.25</v>
      </c>
      <c r="C20" s="5">
        <f>VLOOKUP(Table23[[#This Row],[TEOs]],'1.1'!$A:$E,5,FALSE)</f>
        <v>228638.6724321135</v>
      </c>
      <c r="D20" s="5">
        <f>Table23[[#This Row],[Total Funding
 2015]]-Table23[[#This Row],[Total Funding 
2014]]</f>
        <v>20369.422432113497</v>
      </c>
    </row>
    <row r="21" spans="1:13" x14ac:dyDescent="0.2">
      <c r="A21" s="4" t="s">
        <v>20</v>
      </c>
      <c r="B21" s="5">
        <f>VLOOKUP(Table23[[#This Row],[TEOs]],'[2]1.2'!$A:$C,3,FALSE)</f>
        <v>174780.76</v>
      </c>
      <c r="C21" s="5">
        <f>VLOOKUP(Table23[[#This Row],[TEOs]],'1.1'!$A:$E,5,FALSE)</f>
        <v>174173.13287831374</v>
      </c>
      <c r="D21" s="5">
        <f>Table23[[#This Row],[Total Funding
 2015]]-Table23[[#This Row],[Total Funding 
2014]]</f>
        <v>-607.62712168626604</v>
      </c>
    </row>
    <row r="22" spans="1:13" x14ac:dyDescent="0.2">
      <c r="A22" s="4" t="s">
        <v>18</v>
      </c>
      <c r="B22" s="5">
        <f>VLOOKUP(Table23[[#This Row],[TEOs]],'[2]1.2'!$A:$C,3,FALSE)</f>
        <v>154527.12</v>
      </c>
      <c r="C22" s="5">
        <f>VLOOKUP(Table23[[#This Row],[TEOs]],'1.1'!$A:$E,5,FALSE)</f>
        <v>156732.36510955484</v>
      </c>
      <c r="D22" s="5">
        <f>Table23[[#This Row],[Total Funding
 2015]]-Table23[[#This Row],[Total Funding 
2014]]</f>
        <v>2205.2451095548458</v>
      </c>
    </row>
    <row r="23" spans="1:13" x14ac:dyDescent="0.2">
      <c r="A23" s="4" t="s">
        <v>41</v>
      </c>
      <c r="B23" s="5">
        <f>VLOOKUP(Table23[[#This Row],[TEOs]],'[2]1.2'!$A:$C,3,FALSE)</f>
        <v>161445.37</v>
      </c>
      <c r="C23" s="5">
        <f>VLOOKUP(Table23[[#This Row],[TEOs]],'1.1'!$A:$E,5,FALSE)</f>
        <v>153591.51680563268</v>
      </c>
      <c r="D23" s="5">
        <f>Table23[[#This Row],[Total Funding
 2015]]-Table23[[#This Row],[Total Funding 
2014]]</f>
        <v>-7853.8531943673152</v>
      </c>
    </row>
    <row r="24" spans="1:13" x14ac:dyDescent="0.2">
      <c r="A24" s="4" t="s">
        <v>21</v>
      </c>
      <c r="B24" s="5">
        <f>VLOOKUP(Table23[[#This Row],[TEOs]],'[2]1.2'!$A:$C,3,FALSE)</f>
        <v>94804.159999999989</v>
      </c>
      <c r="C24" s="5">
        <f>VLOOKUP(Table23[[#This Row],[TEOs]],'1.1'!$A:$E,5,FALSE)</f>
        <v>100832.1022999728</v>
      </c>
      <c r="D24" s="5">
        <f>Table23[[#This Row],[Total Funding
 2015]]-Table23[[#This Row],[Total Funding 
2014]]</f>
        <v>6027.9422999728122</v>
      </c>
    </row>
    <row r="25" spans="1:13" x14ac:dyDescent="0.2">
      <c r="A25" s="4" t="s">
        <v>22</v>
      </c>
      <c r="B25" s="5">
        <f>VLOOKUP(Table23[[#This Row],[TEOs]],'[2]1.2'!$A:$C,3,FALSE)</f>
        <v>94925.27</v>
      </c>
      <c r="C25" s="5">
        <f>VLOOKUP(Table23[[#This Row],[TEOs]],'1.1'!$A:$E,5,FALSE)</f>
        <v>99377.487464710328</v>
      </c>
      <c r="D25" s="5">
        <f>Table23[[#This Row],[Total Funding
 2015]]-Table23[[#This Row],[Total Funding 
2014]]</f>
        <v>4452.2174647103238</v>
      </c>
    </row>
    <row r="26" spans="1:13" x14ac:dyDescent="0.2">
      <c r="A26" s="4" t="s">
        <v>23</v>
      </c>
      <c r="B26" s="5">
        <f>VLOOKUP(Table23[[#This Row],[TEOs]],'[2]1.2'!$A:$C,3,FALSE)</f>
        <v>48877.919999999998</v>
      </c>
      <c r="C26" s="5">
        <f>VLOOKUP(Table23[[#This Row],[TEOs]],'1.1'!$A:$E,5,FALSE)</f>
        <v>51099.646507651909</v>
      </c>
      <c r="D26" s="5">
        <f>Table23[[#This Row],[Total Funding
 2015]]-Table23[[#This Row],[Total Funding 
2014]]</f>
        <v>2221.7265076519107</v>
      </c>
    </row>
    <row r="27" spans="1:13" x14ac:dyDescent="0.2">
      <c r="A27" s="4" t="s">
        <v>25</v>
      </c>
      <c r="B27" s="5">
        <f>VLOOKUP(Table23[[#This Row],[TEOs]],'[2]1.2'!$A:$C,3,FALSE)</f>
        <v>37798.93</v>
      </c>
      <c r="C27" s="5">
        <f>VLOOKUP(Table23[[#This Row],[TEOs]],'1.1'!$A:$E,5,FALSE)</f>
        <v>39517.059965917484</v>
      </c>
      <c r="D27" s="5">
        <f>Table23[[#This Row],[Total Funding
 2015]]-Table23[[#This Row],[Total Funding 
2014]]</f>
        <v>1718.1299659174838</v>
      </c>
    </row>
    <row r="28" spans="1:13" x14ac:dyDescent="0.2">
      <c r="A28" s="4" t="s">
        <v>42</v>
      </c>
      <c r="B28" s="5">
        <f>VLOOKUP(Table23[[#This Row],[TEOs]],'[2]1.2'!$A:$C,3,FALSE)</f>
        <v>33274.81</v>
      </c>
      <c r="C28" s="5">
        <f>VLOOKUP(Table23[[#This Row],[TEOs]],'1.1'!$A:$E,5,FALSE)</f>
        <v>35576.715929363119</v>
      </c>
      <c r="D28" s="5">
        <f>Table23[[#This Row],[Total Funding
 2015]]-Table23[[#This Row],[Total Funding 
2014]]</f>
        <v>2301.9059293631217</v>
      </c>
    </row>
    <row r="29" spans="1:13" x14ac:dyDescent="0.2">
      <c r="A29" s="4" t="s">
        <v>24</v>
      </c>
      <c r="B29" s="5">
        <f>VLOOKUP(Table23[[#This Row],[TEOs]],'[2]1.2'!$A:$C,3,FALSE)</f>
        <v>29986.959999999999</v>
      </c>
      <c r="C29" s="5">
        <f>VLOOKUP(Table23[[#This Row],[TEOs]],'1.1'!$A:$E,5,FALSE)</f>
        <v>27330.054909183011</v>
      </c>
      <c r="D29" s="5">
        <f>Table23[[#This Row],[Total Funding
 2015]]-Table23[[#This Row],[Total Funding 
2014]]</f>
        <v>-2656.9050908169884</v>
      </c>
    </row>
    <row r="30" spans="1:13" x14ac:dyDescent="0.2">
      <c r="A30" s="4" t="s">
        <v>43</v>
      </c>
      <c r="B30" s="5">
        <f>VLOOKUP(Table23[[#This Row],[TEOs]],'[2]1.2'!$A:$C,3,FALSE)</f>
        <v>19994.059999999998</v>
      </c>
      <c r="C30" s="5">
        <f>VLOOKUP(Table23[[#This Row],[TEOs]],'1.1'!$A:$E,5,FALSE)</f>
        <v>22643.185418222969</v>
      </c>
      <c r="D30" s="5">
        <f>Table23[[#This Row],[Total Funding
 2015]]-Table23[[#This Row],[Total Funding 
2014]]</f>
        <v>2649.1254182229713</v>
      </c>
    </row>
    <row r="31" spans="1:13" x14ac:dyDescent="0.2">
      <c r="A31" s="4" t="s">
        <v>26</v>
      </c>
      <c r="B31" s="5">
        <f>VLOOKUP(Table23[[#This Row],[TEOs]],'[2]1.2'!$A:$C,3,FALSE)</f>
        <v>13034.11</v>
      </c>
      <c r="C31" s="5">
        <f>VLOOKUP(Table23[[#This Row],[TEOs]],'1.1'!$A:$E,5,FALSE)</f>
        <v>13626.57240204051</v>
      </c>
      <c r="D31" s="5">
        <f>Table23[[#This Row],[Total Funding
 2015]]-Table23[[#This Row],[Total Funding 
2014]]</f>
        <v>592.46240204050991</v>
      </c>
    </row>
    <row r="32" spans="1:13" x14ac:dyDescent="0.2">
      <c r="A32" s="7" t="s">
        <v>27</v>
      </c>
      <c r="B32" s="6">
        <f>SUBTOTAL(109,B5:B31)</f>
        <v>274999999.96999997</v>
      </c>
      <c r="C32" s="6">
        <f>SUBTOTAL(109,C5:C31)</f>
        <v>287500000.00000006</v>
      </c>
      <c r="D32" s="6">
        <f>SUBTOTAL(109,D5:D31)</f>
        <v>12500000.030000018</v>
      </c>
      <c r="I32" s="61"/>
      <c r="J32" s="61"/>
      <c r="K32" s="62"/>
      <c r="L32" s="62"/>
      <c r="M32" s="63"/>
    </row>
  </sheetData>
  <pageMargins left="0.70866141732283472" right="0.70866141732283472" top="0.74803149606299213" bottom="0.74803149606299213" header="0.31496062992125984" footer="0.31496062992125984"/>
  <pageSetup paperSize="9" scale="97"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workbookViewId="0">
      <selection activeCell="C22" sqref="C22"/>
    </sheetView>
  </sheetViews>
  <sheetFormatPr defaultRowHeight="15" x14ac:dyDescent="0.2"/>
  <cols>
    <col min="1" max="1" width="30.88671875" bestFit="1" customWidth="1"/>
    <col min="2" max="5" width="10.77734375" customWidth="1"/>
    <col min="6" max="6" width="10.77734375" style="87" customWidth="1"/>
  </cols>
  <sheetData>
    <row r="2" spans="1:6" ht="15.75" x14ac:dyDescent="0.25">
      <c r="A2" s="1" t="s">
        <v>160</v>
      </c>
      <c r="D2" s="2" t="s">
        <v>0</v>
      </c>
    </row>
    <row r="4" spans="1:6" ht="30.75" customHeight="1" x14ac:dyDescent="0.2">
      <c r="A4" s="3" t="s">
        <v>2</v>
      </c>
      <c r="B4" s="3" t="s">
        <v>28</v>
      </c>
      <c r="C4" s="3" t="s">
        <v>29</v>
      </c>
      <c r="D4" s="3" t="s">
        <v>30</v>
      </c>
      <c r="E4" s="3" t="s">
        <v>31</v>
      </c>
      <c r="F4" s="15" t="s">
        <v>1</v>
      </c>
    </row>
    <row r="5" spans="1:6" x14ac:dyDescent="0.2">
      <c r="A5" s="4" t="s">
        <v>6</v>
      </c>
      <c r="B5" s="5">
        <f>VLOOKUP(F5,'[3]2015 PBRF Indicative Allocation'!$A:$J,10,FALSE)</f>
        <v>85543421</v>
      </c>
      <c r="C5" s="5">
        <f>VLOOKUP(Table235[[#This Row],[TEOs]],'1.1'!$A:$E,5,FALSE)</f>
        <v>85255714.903838918</v>
      </c>
      <c r="D5" s="10">
        <f>Table235[[#This Row],[Total Final Funding]]-Table235[[#This Row],[Total Indicative Funding]]</f>
        <v>-287706.09616108239</v>
      </c>
      <c r="E5" s="9">
        <f>Table235[[#This Row],[Change($)]]/Table235[[#This Row],[Total Indicative Funding]]</f>
        <v>-3.3632755482281024E-3</v>
      </c>
      <c r="F5" s="88">
        <f>VLOOKUP(Table235[[#This Row],[TEOs]],'1.1'!$A:$F,6,FALSE)</f>
        <v>7001</v>
      </c>
    </row>
    <row r="6" spans="1:6" x14ac:dyDescent="0.2">
      <c r="A6" s="4" t="s">
        <v>38</v>
      </c>
      <c r="B6" s="5">
        <f>VLOOKUP(F6,'[3]2015 PBRF Indicative Allocation'!$A:$J,10,FALSE)</f>
        <v>58068276</v>
      </c>
      <c r="C6" s="5">
        <f>VLOOKUP(Table235[[#This Row],[TEOs]],'1.1'!$A:$E,5,FALSE)</f>
        <v>58117656.318938158</v>
      </c>
      <c r="D6" s="10">
        <f>Table235[[#This Row],[Total Final Funding]]-Table235[[#This Row],[Total Indicative Funding]]</f>
        <v>49380.318938158453</v>
      </c>
      <c r="E6" s="9">
        <f>Table235[[#This Row],[Change($)]]/Table235[[#This Row],[Total Indicative Funding]]</f>
        <v>8.5038376097403771E-4</v>
      </c>
      <c r="F6" s="88">
        <f>VLOOKUP(Table235[[#This Row],[TEOs]],'1.1'!$A:$F,6,FALSE)</f>
        <v>7007</v>
      </c>
    </row>
    <row r="7" spans="1:6" x14ac:dyDescent="0.2">
      <c r="A7" s="4" t="s">
        <v>7</v>
      </c>
      <c r="B7" s="5">
        <f>VLOOKUP(F7,'[3]2015 PBRF Indicative Allocation'!$A:$J,10,FALSE)</f>
        <v>38798342</v>
      </c>
      <c r="C7" s="5">
        <f>VLOOKUP(Table235[[#This Row],[TEOs]],'1.1'!$A:$E,5,FALSE)</f>
        <v>38850186.226906784</v>
      </c>
      <c r="D7" s="10">
        <f>Table235[[#This Row],[Total Final Funding]]-Table235[[#This Row],[Total Indicative Funding]]</f>
        <v>51844.226906783879</v>
      </c>
      <c r="E7" s="9">
        <f>Table235[[#This Row],[Change($)]]/Table235[[#This Row],[Total Indicative Funding]]</f>
        <v>1.336248515639763E-3</v>
      </c>
      <c r="F7" s="88">
        <f>VLOOKUP(Table235[[#This Row],[TEOs]],'1.1'!$A:$F,6,FALSE)</f>
        <v>7003</v>
      </c>
    </row>
    <row r="8" spans="1:6" x14ac:dyDescent="0.2">
      <c r="A8" s="4" t="s">
        <v>8</v>
      </c>
      <c r="B8" s="5">
        <f>VLOOKUP(F8,'[3]2015 PBRF Indicative Allocation'!$A:$J,10,FALSE)</f>
        <v>29950603</v>
      </c>
      <c r="C8" s="5">
        <f>VLOOKUP(Table235[[#This Row],[TEOs]],'1.1'!$A:$E,5,FALSE)</f>
        <v>29988937.375998501</v>
      </c>
      <c r="D8" s="10">
        <f>Table235[[#This Row],[Total Final Funding]]-Table235[[#This Row],[Total Indicative Funding]]</f>
        <v>38334.375998500735</v>
      </c>
      <c r="E8" s="9">
        <f>Table235[[#This Row],[Change($)]]/Table235[[#This Row],[Total Indicative Funding]]</f>
        <v>1.2799200069027235E-3</v>
      </c>
      <c r="F8" s="88">
        <f>VLOOKUP(Table235[[#This Row],[TEOs]],'1.1'!$A:$F,6,FALSE)</f>
        <v>7004</v>
      </c>
    </row>
    <row r="9" spans="1:6" x14ac:dyDescent="0.2">
      <c r="A9" s="4" t="s">
        <v>37</v>
      </c>
      <c r="B9" s="5">
        <f>VLOOKUP(F9,'[3]2015 PBRF Indicative Allocation'!$A:$J,10,FALSE)</f>
        <v>27770500</v>
      </c>
      <c r="C9" s="5">
        <f>VLOOKUP(Table235[[#This Row],[TEOs]],'1.1'!$A:$E,5,FALSE)</f>
        <v>27803344.747226365</v>
      </c>
      <c r="D9" s="10">
        <f>Table235[[#This Row],[Total Final Funding]]-Table235[[#This Row],[Total Indicative Funding]]</f>
        <v>32844.747226364911</v>
      </c>
      <c r="E9" s="9">
        <f>Table235[[#This Row],[Change($)]]/Table235[[#This Row],[Total Indicative Funding]]</f>
        <v>1.1827207729916606E-3</v>
      </c>
      <c r="F9" s="88">
        <f>VLOOKUP(Table235[[#This Row],[TEOs]],'1.1'!$A:$F,6,FALSE)</f>
        <v>7005</v>
      </c>
    </row>
    <row r="10" spans="1:6" x14ac:dyDescent="0.2">
      <c r="A10" s="4" t="s">
        <v>9</v>
      </c>
      <c r="B10" s="5">
        <f>VLOOKUP(F10,'[3]2015 PBRF Indicative Allocation'!$A:$J,10,FALSE)</f>
        <v>15610882</v>
      </c>
      <c r="C10" s="5">
        <f>VLOOKUP(Table235[[#This Row],[TEOs]],'1.1'!$A:$E,5,FALSE)</f>
        <v>15627245.198568605</v>
      </c>
      <c r="D10" s="10">
        <f>Table235[[#This Row],[Total Final Funding]]-Table235[[#This Row],[Total Indicative Funding]]</f>
        <v>16363.198568604887</v>
      </c>
      <c r="E10" s="9">
        <f>Table235[[#This Row],[Change($)]]/Table235[[#This Row],[Total Indicative Funding]]</f>
        <v>1.0481918041917739E-3</v>
      </c>
      <c r="F10" s="88">
        <f>VLOOKUP(Table235[[#This Row],[TEOs]],'1.1'!$A:$F,6,FALSE)</f>
        <v>7002</v>
      </c>
    </row>
    <row r="11" spans="1:6" x14ac:dyDescent="0.2">
      <c r="A11" s="4" t="s">
        <v>11</v>
      </c>
      <c r="B11" s="5">
        <f>VLOOKUP(F11,'[3]2015 PBRF Indicative Allocation'!$A:$J,10,FALSE)</f>
        <v>13812237</v>
      </c>
      <c r="C11" s="5">
        <f>VLOOKUP(Table235[[#This Row],[TEOs]],'1.1'!$A:$E,5,FALSE)</f>
        <v>13833489.209945347</v>
      </c>
      <c r="D11" s="10">
        <f>Table235[[#This Row],[Total Final Funding]]-Table235[[#This Row],[Total Indicative Funding]]</f>
        <v>21252.20994534716</v>
      </c>
      <c r="E11" s="9">
        <f>Table235[[#This Row],[Change($)]]/Table235[[#This Row],[Total Indicative Funding]]</f>
        <v>1.5386508315305594E-3</v>
      </c>
      <c r="F11" s="88">
        <f>VLOOKUP(Table235[[#This Row],[TEOs]],'1.1'!$A:$F,6,FALSE)</f>
        <v>7008</v>
      </c>
    </row>
    <row r="12" spans="1:6" x14ac:dyDescent="0.2">
      <c r="A12" s="4" t="s">
        <v>10</v>
      </c>
      <c r="B12" s="5">
        <f>VLOOKUP(F12,'[3]2015 PBRF Indicative Allocation'!$A:$J,10,FALSE)</f>
        <v>9841414</v>
      </c>
      <c r="C12" s="5">
        <f>VLOOKUP(Table235[[#This Row],[TEOs]],'1.1'!$A:$E,5,FALSE)</f>
        <v>9849726.3624162674</v>
      </c>
      <c r="D12" s="10">
        <f>Table235[[#This Row],[Total Final Funding]]-Table235[[#This Row],[Total Indicative Funding]]</f>
        <v>8312.362416267395</v>
      </c>
      <c r="E12" s="9">
        <f>Table235[[#This Row],[Change($)]]/Table235[[#This Row],[Total Indicative Funding]]</f>
        <v>8.4463090530155472E-4</v>
      </c>
      <c r="F12" s="88">
        <f>VLOOKUP(Table235[[#This Row],[TEOs]],'1.1'!$A:$F,6,FALSE)</f>
        <v>7006</v>
      </c>
    </row>
    <row r="13" spans="1:6" x14ac:dyDescent="0.2">
      <c r="A13" s="4" t="s">
        <v>12</v>
      </c>
      <c r="B13" s="5">
        <f>VLOOKUP(F13,'[3]2015 PBRF Indicative Allocation'!$A:$J,10,FALSE)</f>
        <v>3308153</v>
      </c>
      <c r="C13" s="5">
        <f>VLOOKUP(Table235[[#This Row],[TEOs]],'1.1'!$A:$E,5,FALSE)</f>
        <v>3300023.0458151316</v>
      </c>
      <c r="D13" s="10">
        <f>Table235[[#This Row],[Total Final Funding]]-Table235[[#This Row],[Total Indicative Funding]]</f>
        <v>-8129.954184868373</v>
      </c>
      <c r="E13" s="9">
        <f>Table235[[#This Row],[Change($)]]/Table235[[#This Row],[Total Indicative Funding]]</f>
        <v>-2.4575508402629423E-3</v>
      </c>
      <c r="F13" s="88">
        <f>VLOOKUP(Table235[[#This Row],[TEOs]],'1.1'!$A:$F,6,FALSE)</f>
        <v>6004</v>
      </c>
    </row>
    <row r="14" spans="1:6" x14ac:dyDescent="0.2">
      <c r="A14" s="4" t="s">
        <v>14</v>
      </c>
      <c r="B14" s="5">
        <f>VLOOKUP(F14,'[3]2015 PBRF Indicative Allocation'!$A:$J,10,FALSE)</f>
        <v>1146500</v>
      </c>
      <c r="C14" s="5">
        <f>VLOOKUP(Table235[[#This Row],[TEOs]],'1.1'!$A:$E,5,FALSE)</f>
        <v>1147073.2152783386</v>
      </c>
      <c r="D14" s="10">
        <f>Table235[[#This Row],[Total Final Funding]]-Table235[[#This Row],[Total Indicative Funding]]</f>
        <v>573.21527833864093</v>
      </c>
      <c r="E14" s="9">
        <f>Table235[[#This Row],[Change($)]]/Table235[[#This Row],[Total Indicative Funding]]</f>
        <v>4.9996971507949492E-4</v>
      </c>
      <c r="F14" s="88">
        <f>VLOOKUP(Table235[[#This Row],[TEOs]],'1.1'!$A:$F,6,FALSE)</f>
        <v>6013</v>
      </c>
    </row>
    <row r="15" spans="1:6" x14ac:dyDescent="0.2">
      <c r="A15" s="4" t="s">
        <v>13</v>
      </c>
      <c r="B15" s="5">
        <f>VLOOKUP(F15,'[3]2015 PBRF Indicative Allocation'!$A:$J,10,FALSE)</f>
        <v>635605</v>
      </c>
      <c r="C15" s="5">
        <f>VLOOKUP(Table235[[#This Row],[TEOs]],'1.1'!$A:$E,5,FALSE)</f>
        <v>637020.71141207241</v>
      </c>
      <c r="D15" s="10">
        <f>Table235[[#This Row],[Total Final Funding]]-Table235[[#This Row],[Total Indicative Funding]]</f>
        <v>1415.7114120724145</v>
      </c>
      <c r="E15" s="9">
        <f>Table235[[#This Row],[Change($)]]/Table235[[#This Row],[Total Indicative Funding]]</f>
        <v>2.2273446748726244E-3</v>
      </c>
      <c r="F15" s="88">
        <f>VLOOKUP(Table235[[#This Row],[TEOs]],'1.1'!$A:$F,6,FALSE)</f>
        <v>6019</v>
      </c>
    </row>
    <row r="16" spans="1:6" x14ac:dyDescent="0.2">
      <c r="A16" s="4" t="s">
        <v>19</v>
      </c>
      <c r="B16" s="5">
        <f>VLOOKUP(F16,'[3]2015 PBRF Indicative Allocation'!$A:$J,10,FALSE)</f>
        <v>506766</v>
      </c>
      <c r="C16" s="5">
        <f>VLOOKUP(Table235[[#This Row],[TEOs]],'1.1'!$A:$E,5,FALSE)</f>
        <v>580542.01755295659</v>
      </c>
      <c r="D16" s="10">
        <f>Table235[[#This Row],[Total Final Funding]]-Table235[[#This Row],[Total Indicative Funding]]</f>
        <v>73776.017552956589</v>
      </c>
      <c r="E16" s="9">
        <f>Table235[[#This Row],[Change($)]]/Table235[[#This Row],[Total Indicative Funding]]</f>
        <v>0.14558201922180372</v>
      </c>
      <c r="F16" s="88">
        <f>VLOOKUP(Table235[[#This Row],[TEOs]],'1.1'!$A:$F,6,FALSE)</f>
        <v>6007</v>
      </c>
    </row>
    <row r="17" spans="1:6" x14ac:dyDescent="0.2">
      <c r="A17" s="18" t="s">
        <v>40</v>
      </c>
      <c r="B17" s="5">
        <f>VLOOKUP(F17,'[3]2015 PBRF Indicative Allocation'!$A:$J,10,FALSE)</f>
        <v>527186</v>
      </c>
      <c r="C17" s="5">
        <f>VLOOKUP(Table235[[#This Row],[TEOs]],'1.1'!$A:$E,5,FALSE)</f>
        <v>528524.56995166384</v>
      </c>
      <c r="D17" s="10">
        <f>Table235[[#This Row],[Total Final Funding]]-Table235[[#This Row],[Total Indicative Funding]]</f>
        <v>1338.5699516638415</v>
      </c>
      <c r="E17" s="9">
        <f>Table235[[#This Row],[Change($)]]/Table235[[#This Row],[Total Indicative Funding]]</f>
        <v>2.5390847853771562E-3</v>
      </c>
      <c r="F17" s="88">
        <f>VLOOKUP(Table235[[#This Row],[TEOs]],'1.1'!$A:$F,6,FALSE)</f>
        <v>9386</v>
      </c>
    </row>
    <row r="18" spans="1:6" x14ac:dyDescent="0.2">
      <c r="A18" s="4" t="s">
        <v>16</v>
      </c>
      <c r="B18" s="5">
        <f>VLOOKUP(F18,'[3]2015 PBRF Indicative Allocation'!$A:$J,10,FALSE)</f>
        <v>484122</v>
      </c>
      <c r="C18" s="5">
        <f>VLOOKUP(Table235[[#This Row],[TEOs]],'1.1'!$A:$E,5,FALSE)</f>
        <v>484113.6632916017</v>
      </c>
      <c r="D18" s="10">
        <f>Table235[[#This Row],[Total Final Funding]]-Table235[[#This Row],[Total Indicative Funding]]</f>
        <v>-8.336708398303017</v>
      </c>
      <c r="E18" s="9">
        <f>Table235[[#This Row],[Change($)]]/Table235[[#This Row],[Total Indicative Funding]]</f>
        <v>-1.7220263483797509E-5</v>
      </c>
      <c r="F18" s="88">
        <f>VLOOKUP(Table235[[#This Row],[TEOs]],'1.1'!$A:$F,6,FALSE)</f>
        <v>6006</v>
      </c>
    </row>
    <row r="19" spans="1:6" x14ac:dyDescent="0.2">
      <c r="A19" s="4" t="s">
        <v>15</v>
      </c>
      <c r="B19" s="5">
        <f>VLOOKUP(F19,'[3]2015 PBRF Indicative Allocation'!$A:$J,10,FALSE)</f>
        <v>393267</v>
      </c>
      <c r="C19" s="5">
        <f>VLOOKUP(Table235[[#This Row],[TEOs]],'1.1'!$A:$E,5,FALSE)</f>
        <v>393263.92073662509</v>
      </c>
      <c r="D19" s="10">
        <f>Table235[[#This Row],[Total Final Funding]]-Table235[[#This Row],[Total Indicative Funding]]</f>
        <v>-3.0792633749078959</v>
      </c>
      <c r="E19" s="9">
        <f>Table235[[#This Row],[Change($)]]/Table235[[#This Row],[Total Indicative Funding]]</f>
        <v>-7.8299561745783296E-6</v>
      </c>
      <c r="F19" s="88">
        <f>VLOOKUP(Table235[[#This Row],[TEOs]],'1.1'!$A:$F,6,FALSE)</f>
        <v>6010</v>
      </c>
    </row>
    <row r="20" spans="1:6" x14ac:dyDescent="0.2">
      <c r="A20" s="4" t="s">
        <v>17</v>
      </c>
      <c r="B20" s="5">
        <f>VLOOKUP(F20,'[3]2015 PBRF Indicative Allocation'!$A:$J,10,FALSE)</f>
        <v>228295</v>
      </c>
      <c r="C20" s="5">
        <f>VLOOKUP(Table235[[#This Row],[TEOs]],'1.1'!$A:$E,5,FALSE)</f>
        <v>228638.6724321135</v>
      </c>
      <c r="D20" s="10">
        <f>Table235[[#This Row],[Total Final Funding]]-Table235[[#This Row],[Total Indicative Funding]]</f>
        <v>343.67243211349705</v>
      </c>
      <c r="E20" s="9">
        <f>Table235[[#This Row],[Change($)]]/Table235[[#This Row],[Total Indicative Funding]]</f>
        <v>1.5053874684662258E-3</v>
      </c>
      <c r="F20" s="88">
        <f>VLOOKUP(Table235[[#This Row],[TEOs]],'1.1'!$A:$F,6,FALSE)</f>
        <v>8509</v>
      </c>
    </row>
    <row r="21" spans="1:6" x14ac:dyDescent="0.2">
      <c r="A21" s="4" t="s">
        <v>20</v>
      </c>
      <c r="B21" s="5">
        <f>VLOOKUP(F21,'[3]2015 PBRF Indicative Allocation'!$A:$J,10,FALSE)</f>
        <v>174183</v>
      </c>
      <c r="C21" s="5">
        <f>VLOOKUP(Table235[[#This Row],[TEOs]],'1.1'!$A:$E,5,FALSE)</f>
        <v>174173.13287831374</v>
      </c>
      <c r="D21" s="10">
        <f>Table235[[#This Row],[Total Final Funding]]-Table235[[#This Row],[Total Indicative Funding]]</f>
        <v>-9.8671216862567235</v>
      </c>
      <c r="E21" s="9">
        <f>Table235[[#This Row],[Change($)]]/Table235[[#This Row],[Total Indicative Funding]]</f>
        <v>-5.6648017810330078E-5</v>
      </c>
      <c r="F21" s="88">
        <f>VLOOKUP(Table235[[#This Row],[TEOs]],'1.1'!$A:$F,6,FALSE)</f>
        <v>6014</v>
      </c>
    </row>
    <row r="22" spans="1:6" x14ac:dyDescent="0.2">
      <c r="A22" s="4" t="s">
        <v>18</v>
      </c>
      <c r="B22" s="5">
        <f>VLOOKUP(F22,'[3]2015 PBRF Indicative Allocation'!$A:$J,10,FALSE)</f>
        <v>156735</v>
      </c>
      <c r="C22" s="5">
        <f>VLOOKUP(Table235[[#This Row],[TEOs]],'1.1'!$A:$E,5,FALSE)</f>
        <v>156732.36510955484</v>
      </c>
      <c r="D22" s="10">
        <f>Table235[[#This Row],[Total Final Funding]]-Table235[[#This Row],[Total Indicative Funding]]</f>
        <v>-2.6348904451588169</v>
      </c>
      <c r="E22" s="9">
        <f>Table235[[#This Row],[Change($)]]/Table235[[#This Row],[Total Indicative Funding]]</f>
        <v>-1.6811117141409493E-5</v>
      </c>
      <c r="F22" s="88">
        <f>VLOOKUP(Table235[[#This Row],[TEOs]],'1.1'!$A:$F,6,FALSE)</f>
        <v>6022</v>
      </c>
    </row>
    <row r="23" spans="1:6" x14ac:dyDescent="0.2">
      <c r="A23" s="4" t="s">
        <v>41</v>
      </c>
      <c r="B23" s="5">
        <f>VLOOKUP(F23,'[3]2015 PBRF Indicative Allocation'!$A:$J,10,FALSE)</f>
        <v>153615</v>
      </c>
      <c r="C23" s="5">
        <f>VLOOKUP(Table235[[#This Row],[TEOs]],'1.1'!$A:$E,5,FALSE)</f>
        <v>153591.51680563268</v>
      </c>
      <c r="D23" s="10">
        <f>Table235[[#This Row],[Total Final Funding]]-Table235[[#This Row],[Total Indicative Funding]]</f>
        <v>-23.483194367319811</v>
      </c>
      <c r="E23" s="9">
        <f>Table235[[#This Row],[Change($)]]/Table235[[#This Row],[Total Indicative Funding]]</f>
        <v>-1.5287045124056772E-4</v>
      </c>
      <c r="F23" s="88">
        <f>VLOOKUP(Table235[[#This Row],[TEOs]],'1.1'!$A:$F,6,FALSE)</f>
        <v>6008</v>
      </c>
    </row>
    <row r="24" spans="1:6" x14ac:dyDescent="0.2">
      <c r="A24" s="4" t="s">
        <v>21</v>
      </c>
      <c r="B24" s="5">
        <f>VLOOKUP(F24,'[3]2015 PBRF Indicative Allocation'!$A:$J,10,FALSE)</f>
        <v>100716</v>
      </c>
      <c r="C24" s="5">
        <f>VLOOKUP(Table235[[#This Row],[TEOs]],'1.1'!$A:$E,5,FALSE)</f>
        <v>100832.1022999728</v>
      </c>
      <c r="D24" s="10">
        <f>Table235[[#This Row],[Total Final Funding]]-Table235[[#This Row],[Total Indicative Funding]]</f>
        <v>116.10229997280112</v>
      </c>
      <c r="E24" s="9">
        <f>Table235[[#This Row],[Change($)]]/Table235[[#This Row],[Total Indicative Funding]]</f>
        <v>1.152769172453246E-3</v>
      </c>
      <c r="F24" s="88">
        <f>VLOOKUP(Table235[[#This Row],[TEOs]],'1.1'!$A:$F,6,FALSE)</f>
        <v>8563</v>
      </c>
    </row>
    <row r="25" spans="1:6" x14ac:dyDescent="0.2">
      <c r="A25" s="4" t="s">
        <v>22</v>
      </c>
      <c r="B25" s="5">
        <f>VLOOKUP(F25,'[3]2015 PBRF Indicative Allocation'!$A:$J,10,FALSE)</f>
        <v>99378</v>
      </c>
      <c r="C25" s="5">
        <f>VLOOKUP(Table235[[#This Row],[TEOs]],'1.1'!$A:$E,5,FALSE)</f>
        <v>99377.487464710328</v>
      </c>
      <c r="D25" s="10">
        <f>Table235[[#This Row],[Total Final Funding]]-Table235[[#This Row],[Total Indicative Funding]]</f>
        <v>-0.51253528967208695</v>
      </c>
      <c r="E25" s="9">
        <f>Table235[[#This Row],[Change($)]]/Table235[[#This Row],[Total Indicative Funding]]</f>
        <v>-5.1574321245354798E-6</v>
      </c>
      <c r="F25" s="88">
        <f>VLOOKUP(Table235[[#This Row],[TEOs]],'1.1'!$A:$F,6,FALSE)</f>
        <v>6012</v>
      </c>
    </row>
    <row r="26" spans="1:6" x14ac:dyDescent="0.2">
      <c r="A26" s="4" t="s">
        <v>23</v>
      </c>
      <c r="B26" s="5">
        <f>VLOOKUP(F26,'[3]2015 PBRF Indicative Allocation'!$A:$J,10,FALSE)</f>
        <v>51100</v>
      </c>
      <c r="C26" s="5">
        <f>VLOOKUP(Table235[[#This Row],[TEOs]],'1.1'!$A:$E,5,FALSE)</f>
        <v>51099.646507651909</v>
      </c>
      <c r="D26" s="10">
        <f>Table235[[#This Row],[Total Final Funding]]-Table235[[#This Row],[Total Indicative Funding]]</f>
        <v>-0.35349234809109475</v>
      </c>
      <c r="E26" s="9">
        <f>Table235[[#This Row],[Change($)]]/Table235[[#This Row],[Total Indicative Funding]]</f>
        <v>-6.9176584753638897E-6</v>
      </c>
      <c r="F26" s="88">
        <f>VLOOKUP(Table235[[#This Row],[TEOs]],'1.1'!$A:$F,6,FALSE)</f>
        <v>8979</v>
      </c>
    </row>
    <row r="27" spans="1:6" x14ac:dyDescent="0.2">
      <c r="A27" s="4" t="s">
        <v>25</v>
      </c>
      <c r="B27" s="5">
        <f>VLOOKUP(F27,'[3]2015 PBRF Indicative Allocation'!$A:$J,10,FALSE)</f>
        <v>39517</v>
      </c>
      <c r="C27" s="5">
        <f>VLOOKUP(Table235[[#This Row],[TEOs]],'1.1'!$A:$E,5,FALSE)</f>
        <v>39517.059965917484</v>
      </c>
      <c r="D27" s="10">
        <f>Table235[[#This Row],[Total Final Funding]]-Table235[[#This Row],[Total Indicative Funding]]</f>
        <v>5.9965917484078091E-2</v>
      </c>
      <c r="E27" s="9">
        <f>Table235[[#This Row],[Change($)]]/Table235[[#This Row],[Total Indicative Funding]]</f>
        <v>1.5174714043089833E-6</v>
      </c>
      <c r="F27" s="88">
        <f>VLOOKUP(Table235[[#This Row],[TEOs]],'1.1'!$A:$F,6,FALSE)</f>
        <v>8530</v>
      </c>
    </row>
    <row r="28" spans="1:6" x14ac:dyDescent="0.2">
      <c r="A28" s="4" t="s">
        <v>42</v>
      </c>
      <c r="B28" s="5">
        <f>VLOOKUP(F28,'[3]2015 PBRF Indicative Allocation'!$A:$J,10,FALSE)</f>
        <v>35583</v>
      </c>
      <c r="C28" s="5">
        <f>VLOOKUP(Table235[[#This Row],[TEOs]],'1.1'!$A:$E,5,FALSE)</f>
        <v>35576.715929363119</v>
      </c>
      <c r="D28" s="10">
        <f>Table235[[#This Row],[Total Final Funding]]-Table235[[#This Row],[Total Indicative Funding]]</f>
        <v>-6.2840706368806423</v>
      </c>
      <c r="E28" s="9">
        <f>Table235[[#This Row],[Change($)]]/Table235[[#This Row],[Total Indicative Funding]]</f>
        <v>-1.7660317108958329E-4</v>
      </c>
      <c r="F28" s="88">
        <f>VLOOKUP(Table235[[#This Row],[TEOs]],'1.1'!$A:$F,6,FALSE)</f>
        <v>8396</v>
      </c>
    </row>
    <row r="29" spans="1:6" x14ac:dyDescent="0.2">
      <c r="A29" s="4" t="s">
        <v>24</v>
      </c>
      <c r="B29" s="5">
        <f>VLOOKUP(F29,'[3]2015 PBRF Indicative Allocation'!$A:$J,10,FALSE)</f>
        <v>27335</v>
      </c>
      <c r="C29" s="5">
        <f>VLOOKUP(Table235[[#This Row],[TEOs]],'1.1'!$A:$E,5,FALSE)</f>
        <v>27330.054909183011</v>
      </c>
      <c r="D29" s="10">
        <f>Table235[[#This Row],[Total Final Funding]]-Table235[[#This Row],[Total Indicative Funding]]</f>
        <v>-4.94509081698925</v>
      </c>
      <c r="E29" s="9">
        <f>Table235[[#This Row],[Change($)]]/Table235[[#This Row],[Total Indicative Funding]]</f>
        <v>-1.809069258090086E-4</v>
      </c>
      <c r="F29" s="88">
        <f>VLOOKUP(Table235[[#This Row],[TEOs]],'1.1'!$A:$F,6,FALSE)</f>
        <v>8694</v>
      </c>
    </row>
    <row r="30" spans="1:6" x14ac:dyDescent="0.2">
      <c r="A30" s="4" t="s">
        <v>43</v>
      </c>
      <c r="B30" s="5">
        <f>VLOOKUP(F30,'[3]2015 PBRF Indicative Allocation'!$A:$J,10,FALSE)</f>
        <v>22645</v>
      </c>
      <c r="C30" s="5">
        <f>VLOOKUP(Table235[[#This Row],[TEOs]],'1.1'!$A:$E,5,FALSE)</f>
        <v>22643.185418222969</v>
      </c>
      <c r="D30" s="10">
        <f>Table235[[#This Row],[Total Final Funding]]-Table235[[#This Row],[Total Indicative Funding]]</f>
        <v>-1.8145817770309804</v>
      </c>
      <c r="E30" s="9">
        <f>Table235[[#This Row],[Change($)]]/Table235[[#This Row],[Total Indicative Funding]]</f>
        <v>-8.013167485232857E-5</v>
      </c>
      <c r="F30" s="88">
        <f>VLOOKUP(Table235[[#This Row],[TEOs]],'1.1'!$A:$F,6,FALSE)</f>
        <v>8619</v>
      </c>
    </row>
    <row r="31" spans="1:6" x14ac:dyDescent="0.2">
      <c r="A31" s="4" t="s">
        <v>26</v>
      </c>
      <c r="B31" s="5">
        <f>VLOOKUP(F31,'[3]2015 PBRF Indicative Allocation'!$A:$J,10,FALSE)</f>
        <v>13627</v>
      </c>
      <c r="C31" s="5">
        <f>VLOOKUP(Table235[[#This Row],[TEOs]],'1.1'!$A:$E,5,FALSE)</f>
        <v>13626.57240204051</v>
      </c>
      <c r="D31" s="10">
        <f>Table235[[#This Row],[Total Final Funding]]-Table235[[#This Row],[Total Indicative Funding]]</f>
        <v>-0.42759795948950341</v>
      </c>
      <c r="E31" s="9">
        <f>Table235[[#This Row],[Change($)]]/Table235[[#This Row],[Total Indicative Funding]]</f>
        <v>-3.1378730424121479E-5</v>
      </c>
      <c r="F31" s="88">
        <f>VLOOKUP(Table235[[#This Row],[TEOs]],'1.1'!$A:$F,6,FALSE)</f>
        <v>8717</v>
      </c>
    </row>
    <row r="32" spans="1:6" x14ac:dyDescent="0.2">
      <c r="A32" s="7" t="s">
        <v>27</v>
      </c>
      <c r="B32" s="6">
        <f>SUBTOTAL(109,B5:B31)</f>
        <v>287500003</v>
      </c>
      <c r="C32" s="6">
        <f>SUBTOTAL(109,C5:C31)</f>
        <v>287500000.00000006</v>
      </c>
      <c r="D32" s="11">
        <f>SUBTOTAL(109,D5:D31)</f>
        <v>-2.9999999881729309</v>
      </c>
      <c r="E32" s="14">
        <f>Table235[[#This Row],[Change($)]]/Table235[[#This Row],[Total Indicative Funding]]</f>
        <v>-1.0434782458673334E-8</v>
      </c>
      <c r="F32" s="89">
        <f>VLOOKUP(Table235[[#This Row],[TEOs]],'1.1'!$A:$F,6,FALSE)</f>
        <v>0</v>
      </c>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workbookViewId="0">
      <selection activeCell="C29" sqref="C29"/>
    </sheetView>
  </sheetViews>
  <sheetFormatPr defaultRowHeight="15" x14ac:dyDescent="0.2"/>
  <cols>
    <col min="1" max="1" width="30.88671875" bestFit="1" customWidth="1"/>
    <col min="2" max="2" width="10.44140625" customWidth="1"/>
    <col min="3" max="3" width="12.77734375" customWidth="1"/>
    <col min="4" max="5" width="10.44140625" customWidth="1"/>
    <col min="6" max="6" width="10.44140625" style="87" customWidth="1"/>
  </cols>
  <sheetData>
    <row r="2" spans="1:6" ht="15.75" x14ac:dyDescent="0.25">
      <c r="A2" s="1" t="s">
        <v>161</v>
      </c>
      <c r="E2" s="2" t="s">
        <v>0</v>
      </c>
      <c r="F2" s="90"/>
    </row>
    <row r="4" spans="1:6" ht="24" x14ac:dyDescent="0.2">
      <c r="A4" s="3" t="s">
        <v>2</v>
      </c>
      <c r="B4" s="3" t="s">
        <v>33</v>
      </c>
      <c r="C4" s="3" t="s">
        <v>3</v>
      </c>
      <c r="D4" s="3" t="s">
        <v>4</v>
      </c>
      <c r="E4" s="3" t="s">
        <v>5</v>
      </c>
      <c r="F4" s="91" t="s">
        <v>1</v>
      </c>
    </row>
    <row r="5" spans="1:6" x14ac:dyDescent="0.2">
      <c r="A5" s="4" t="s">
        <v>6</v>
      </c>
      <c r="B5" s="5">
        <f>VLOOKUP(Table26[[#This Row],[Edumis]],'[4]2016 PBRF Indicative Allocation'!$A:$I,5,FALSE)</f>
        <v>46697968.912604481</v>
      </c>
      <c r="C5" s="5">
        <f>VLOOKUP(Table26[[#This Row],[Edumis]],'[4]2016 PBRF Indicative Allocation'!$A:$I,7,FALSE)</f>
        <v>20455606.623847958</v>
      </c>
      <c r="D5" s="5">
        <f>VLOOKUP(Table26[[#This Row],[Edumis]],'[4]2016 PBRF Indicative Allocation'!$A:$I,9,FALSE)</f>
        <v>22419702.969379034</v>
      </c>
      <c r="E5" s="6">
        <f>SUM(Table26[[#This Row],[Quality 
Evaluation]:[Research Degree Completion]])</f>
        <v>89573278.50583148</v>
      </c>
      <c r="F5" s="92">
        <f>VLOOKUP(Table26[[#This Row],[TEOs]],'1.1'!$A:$F,6,FALSE)</f>
        <v>7001</v>
      </c>
    </row>
    <row r="6" spans="1:6" x14ac:dyDescent="0.2">
      <c r="A6" s="4" t="s">
        <v>38</v>
      </c>
      <c r="B6" s="5">
        <f>VLOOKUP(Table26[[#This Row],[Edumis]],'[4]2016 PBRF Indicative Allocation'!$A:$I,5,FALSE)</f>
        <v>35254050.95332133</v>
      </c>
      <c r="C6" s="5">
        <f>VLOOKUP(Table26[[#This Row],[Edumis]],'[4]2016 PBRF Indicative Allocation'!$A:$I,7,FALSE)</f>
        <v>13004080.145412253</v>
      </c>
      <c r="D6" s="5">
        <f>VLOOKUP(Table26[[#This Row],[Edumis]],'[4]2016 PBRF Indicative Allocation'!$A:$I,9,FALSE)</f>
        <v>11883369.345475463</v>
      </c>
      <c r="E6" s="6">
        <f>SUM(Table26[[#This Row],[Quality 
Evaluation]:[Research Degree Completion]])</f>
        <v>60141500.444209047</v>
      </c>
      <c r="F6" s="92">
        <f>VLOOKUP(Table26[[#This Row],[TEOs]],'1.1'!$A:$F,6,FALSE)</f>
        <v>7007</v>
      </c>
    </row>
    <row r="7" spans="1:6" x14ac:dyDescent="0.2">
      <c r="A7" s="4" t="s">
        <v>7</v>
      </c>
      <c r="B7" s="5">
        <f>VLOOKUP(Table26[[#This Row],[Edumis]],'[4]2016 PBRF Indicative Allocation'!$A:$I,5,FALSE)</f>
        <v>23113274.300014492</v>
      </c>
      <c r="C7" s="5">
        <f>VLOOKUP(Table26[[#This Row],[Edumis]],'[4]2016 PBRF Indicative Allocation'!$A:$I,7,FALSE)</f>
        <v>8282230.667987939</v>
      </c>
      <c r="D7" s="5">
        <f>VLOOKUP(Table26[[#This Row],[Edumis]],'[4]2016 PBRF Indicative Allocation'!$A:$I,9,FALSE)</f>
        <v>9171562.3087337762</v>
      </c>
      <c r="E7" s="6">
        <f>SUM(Table26[[#This Row],[Quality 
Evaluation]:[Research Degree Completion]])</f>
        <v>40567067.276736207</v>
      </c>
      <c r="F7" s="92">
        <f>VLOOKUP(Table26[[#This Row],[TEOs]],'1.1'!$A:$F,6,FALSE)</f>
        <v>7003</v>
      </c>
    </row>
    <row r="8" spans="1:6" x14ac:dyDescent="0.2">
      <c r="A8" s="4" t="s">
        <v>8</v>
      </c>
      <c r="B8" s="5">
        <f>VLOOKUP(Table26[[#This Row],[Edumis]],'[4]2016 PBRF Indicative Allocation'!$A:$I,5,FALSE)</f>
        <v>16923144.395391196</v>
      </c>
      <c r="C8" s="5">
        <f>VLOOKUP(Table26[[#This Row],[Edumis]],'[4]2016 PBRF Indicative Allocation'!$A:$I,7,FALSE)</f>
        <v>5686771.6061207401</v>
      </c>
      <c r="D8" s="5">
        <f>VLOOKUP(Table26[[#This Row],[Edumis]],'[4]2016 PBRF Indicative Allocation'!$A:$I,9,FALSE)</f>
        <v>9367870.9868871868</v>
      </c>
      <c r="E8" s="6">
        <f>SUM(Table26[[#This Row],[Quality 
Evaluation]:[Research Degree Completion]])</f>
        <v>31977786.988399122</v>
      </c>
      <c r="F8" s="92">
        <f>VLOOKUP(Table26[[#This Row],[TEOs]],'1.1'!$A:$F,6,FALSE)</f>
        <v>7004</v>
      </c>
    </row>
    <row r="9" spans="1:6" x14ac:dyDescent="0.2">
      <c r="A9" s="4" t="s">
        <v>37</v>
      </c>
      <c r="B9" s="5">
        <f>VLOOKUP(Table26[[#This Row],[Edumis]],'[4]2016 PBRF Indicative Allocation'!$A:$I,5,FALSE)</f>
        <v>16074667.103555271</v>
      </c>
      <c r="C9" s="5">
        <f>VLOOKUP(Table26[[#This Row],[Edumis]],'[4]2016 PBRF Indicative Allocation'!$A:$I,7,FALSE)</f>
        <v>4149349.1474869205</v>
      </c>
      <c r="D9" s="5">
        <f>VLOOKUP(Table26[[#This Row],[Edumis]],'[4]2016 PBRF Indicative Allocation'!$A:$I,9,FALSE)</f>
        <v>8535225.4391008411</v>
      </c>
      <c r="E9" s="6">
        <f>SUM(Table26[[#This Row],[Quality 
Evaluation]:[Research Degree Completion]])</f>
        <v>28759241.690143034</v>
      </c>
      <c r="F9" s="92">
        <f>VLOOKUP(Table26[[#This Row],[TEOs]],'1.1'!$A:$F,6,FALSE)</f>
        <v>7005</v>
      </c>
    </row>
    <row r="10" spans="1:6" x14ac:dyDescent="0.2">
      <c r="A10" s="4" t="s">
        <v>9</v>
      </c>
      <c r="B10" s="5">
        <f>VLOOKUP(Table26[[#This Row],[Edumis]],'[4]2016 PBRF Indicative Allocation'!$A:$I,5,FALSE)</f>
        <v>8961995.8842399996</v>
      </c>
      <c r="C10" s="5">
        <f>VLOOKUP(Table26[[#This Row],[Edumis]],'[4]2016 PBRF Indicative Allocation'!$A:$I,7,FALSE)</f>
        <v>2780849.7000183687</v>
      </c>
      <c r="D10" s="5">
        <f>VLOOKUP(Table26[[#This Row],[Edumis]],'[4]2016 PBRF Indicative Allocation'!$A:$I,9,FALSE)</f>
        <v>4090604.5403119335</v>
      </c>
      <c r="E10" s="6">
        <f>SUM(Table26[[#This Row],[Quality 
Evaluation]:[Research Degree Completion]])</f>
        <v>15833450.124570303</v>
      </c>
      <c r="F10" s="92">
        <f>VLOOKUP(Table26[[#This Row],[TEOs]],'1.1'!$A:$F,6,FALSE)</f>
        <v>7002</v>
      </c>
    </row>
    <row r="11" spans="1:6" x14ac:dyDescent="0.2">
      <c r="A11" s="4" t="s">
        <v>11</v>
      </c>
      <c r="B11" s="5">
        <f>VLOOKUP(Table26[[#This Row],[Edumis]],'[4]2016 PBRF Indicative Allocation'!$A:$I,5,FALSE)</f>
        <v>8029212.2133693006</v>
      </c>
      <c r="C11" s="5">
        <f>VLOOKUP(Table26[[#This Row],[Edumis]],'[4]2016 PBRF Indicative Allocation'!$A:$I,7,FALSE)</f>
        <v>1323468.1539327579</v>
      </c>
      <c r="D11" s="5">
        <f>VLOOKUP(Table26[[#This Row],[Edumis]],'[4]2016 PBRF Indicative Allocation'!$A:$I,9,FALSE)</f>
        <v>4886677.6712353816</v>
      </c>
      <c r="E11" s="6">
        <f>SUM(Table26[[#This Row],[Quality 
Evaluation]:[Research Degree Completion]])</f>
        <v>14239358.038537439</v>
      </c>
      <c r="F11" s="92">
        <f>VLOOKUP(Table26[[#This Row],[TEOs]],'1.1'!$A:$F,6,FALSE)</f>
        <v>7008</v>
      </c>
    </row>
    <row r="12" spans="1:6" x14ac:dyDescent="0.2">
      <c r="A12" s="4" t="s">
        <v>10</v>
      </c>
      <c r="B12" s="5">
        <f>VLOOKUP(Table26[[#This Row],[Edumis]],'[4]2016 PBRF Indicative Allocation'!$A:$I,5,FALSE)</f>
        <v>4488361.8899609782</v>
      </c>
      <c r="C12" s="5">
        <f>VLOOKUP(Table26[[#This Row],[Edumis]],'[4]2016 PBRF Indicative Allocation'!$A:$I,7,FALSE)</f>
        <v>3923935.9170520175</v>
      </c>
      <c r="D12" s="5">
        <f>VLOOKUP(Table26[[#This Row],[Edumis]],'[4]2016 PBRF Indicative Allocation'!$A:$I,9,FALSE)</f>
        <v>2253173.8598215603</v>
      </c>
      <c r="E12" s="6">
        <f>SUM(Table26[[#This Row],[Quality 
Evaluation]:[Research Degree Completion]])</f>
        <v>10665471.666834556</v>
      </c>
      <c r="F12" s="92">
        <f>VLOOKUP(Table26[[#This Row],[TEOs]],'1.1'!$A:$F,6,FALSE)</f>
        <v>7006</v>
      </c>
    </row>
    <row r="13" spans="1:6" x14ac:dyDescent="0.2">
      <c r="A13" s="4" t="s">
        <v>12</v>
      </c>
      <c r="B13" s="5">
        <f>VLOOKUP(Table26[[#This Row],[Edumis]],'[4]2016 PBRF Indicative Allocation'!$A:$I,5,FALSE)</f>
        <v>2038893.6694454015</v>
      </c>
      <c r="C13" s="5">
        <f>VLOOKUP(Table26[[#This Row],[Edumis]],'[4]2016 PBRF Indicative Allocation'!$A:$I,7,FALSE)</f>
        <v>33194.335289446375</v>
      </c>
      <c r="D13" s="5">
        <f>VLOOKUP(Table26[[#This Row],[Edumis]],'[4]2016 PBRF Indicative Allocation'!$A:$I,9,FALSE)</f>
        <v>1380652.2061687289</v>
      </c>
      <c r="E13" s="6">
        <f>SUM(Table26[[#This Row],[Quality 
Evaluation]:[Research Degree Completion]])</f>
        <v>3452740.2109035766</v>
      </c>
      <c r="F13" s="92">
        <f>VLOOKUP(Table26[[#This Row],[TEOs]],'1.1'!$A:$F,6,FALSE)</f>
        <v>6004</v>
      </c>
    </row>
    <row r="14" spans="1:6" x14ac:dyDescent="0.2">
      <c r="A14" s="4" t="s">
        <v>14</v>
      </c>
      <c r="B14" s="5">
        <f>VLOOKUP(Table26[[#This Row],[Edumis]],'[4]2016 PBRF Indicative Allocation'!$A:$I,5,FALSE)</f>
        <v>832071.68861009402</v>
      </c>
      <c r="C14" s="5">
        <f>VLOOKUP(Table26[[#This Row],[Edumis]],'[4]2016 PBRF Indicative Allocation'!$A:$I,7,FALSE)</f>
        <v>166395.27705674889</v>
      </c>
      <c r="D14" s="5">
        <f>VLOOKUP(Table26[[#This Row],[Edumis]],'[4]2016 PBRF Indicative Allocation'!$A:$I,9,FALSE)</f>
        <v>123047.92551514282</v>
      </c>
      <c r="E14" s="6">
        <f>SUM(Table26[[#This Row],[Quality 
Evaluation]:[Research Degree Completion]])</f>
        <v>1121514.8911819856</v>
      </c>
      <c r="F14" s="92">
        <f>VLOOKUP(Table26[[#This Row],[TEOs]],'1.1'!$A:$F,6,FALSE)</f>
        <v>6013</v>
      </c>
    </row>
    <row r="15" spans="1:6" x14ac:dyDescent="0.2">
      <c r="A15" s="4" t="s">
        <v>13</v>
      </c>
      <c r="B15" s="5">
        <f>VLOOKUP(Table26[[#This Row],[Edumis]],'[4]2016 PBRF Indicative Allocation'!$A:$I,5,FALSE)</f>
        <v>275671.48428997607</v>
      </c>
      <c r="C15" s="5">
        <f>VLOOKUP(Table26[[#This Row],[Edumis]],'[4]2016 PBRF Indicative Allocation'!$A:$I,7,FALSE)</f>
        <v>20611.692721087245</v>
      </c>
      <c r="D15" s="5">
        <f>VLOOKUP(Table26[[#This Row],[Edumis]],'[4]2016 PBRF Indicative Allocation'!$A:$I,9,FALSE)</f>
        <v>358363.31769200577</v>
      </c>
      <c r="E15" s="6">
        <f>SUM(Table26[[#This Row],[Quality 
Evaluation]:[Research Degree Completion]])</f>
        <v>654646.4947030691</v>
      </c>
      <c r="F15" s="92">
        <f>VLOOKUP(Table26[[#This Row],[TEOs]],'1.1'!$A:$F,6,FALSE)</f>
        <v>6019</v>
      </c>
    </row>
    <row r="16" spans="1:6" x14ac:dyDescent="0.2">
      <c r="A16" s="18" t="s">
        <v>40</v>
      </c>
      <c r="B16" s="5">
        <f>VLOOKUP(Table26[[#This Row],[Edumis]],'[4]2016 PBRF Indicative Allocation'!$A:$I,5,FALSE)</f>
        <v>145069.67471146261</v>
      </c>
      <c r="C16" s="5">
        <f>VLOOKUP(Table26[[#This Row],[Edumis]],'[4]2016 PBRF Indicative Allocation'!$A:$I,7,FALSE)</f>
        <v>34285.757918975018</v>
      </c>
      <c r="D16" s="5">
        <f>VLOOKUP(Table26[[#This Row],[Edumis]],'[4]2016 PBRF Indicative Allocation'!$A:$I,9,FALSE)</f>
        <v>381663.01908488723</v>
      </c>
      <c r="E16" s="6">
        <f>SUM(Table26[[#This Row],[Quality 
Evaluation]:[Research Degree Completion]])</f>
        <v>561018.45171532489</v>
      </c>
      <c r="F16" s="92">
        <f>VLOOKUP(Table26[[#This Row],[TEOs]],'1.1'!$A:$F,6,FALSE)</f>
        <v>9386</v>
      </c>
    </row>
    <row r="17" spans="1:6" x14ac:dyDescent="0.2">
      <c r="A17" s="4" t="s">
        <v>19</v>
      </c>
      <c r="B17" s="5">
        <f>VLOOKUP(Table26[[#This Row],[Edumis]],'[4]2016 PBRF Indicative Allocation'!$A:$I,5,FALSE)</f>
        <v>454597.26682381274</v>
      </c>
      <c r="C17" s="5">
        <f>VLOOKUP(Table26[[#This Row],[Edumis]],'[4]2016 PBRF Indicative Allocation'!$A:$I,7,FALSE)</f>
        <v>38107.877490241888</v>
      </c>
      <c r="D17" s="5">
        <f>VLOOKUP(Table26[[#This Row],[Edumis]],'[4]2016 PBRF Indicative Allocation'!$A:$I,9,FALSE)</f>
        <v>0</v>
      </c>
      <c r="E17" s="6">
        <f>SUM(Table26[[#This Row],[Quality 
Evaluation]:[Research Degree Completion]])</f>
        <v>492705.14431405463</v>
      </c>
      <c r="F17" s="92">
        <f>VLOOKUP(Table26[[#This Row],[TEOs]],'1.1'!$A:$F,6,FALSE)</f>
        <v>6007</v>
      </c>
    </row>
    <row r="18" spans="1:6" x14ac:dyDescent="0.2">
      <c r="A18" s="4" t="s">
        <v>16</v>
      </c>
      <c r="B18" s="5">
        <f>VLOOKUP(Table26[[#This Row],[Edumis]],'[4]2016 PBRF Indicative Allocation'!$A:$I,5,FALSE)</f>
        <v>452479.2235048</v>
      </c>
      <c r="C18" s="5">
        <f>VLOOKUP(Table26[[#This Row],[Edumis]],'[4]2016 PBRF Indicative Allocation'!$A:$I,7,FALSE)</f>
        <v>11164.646233761963</v>
      </c>
      <c r="D18" s="5">
        <f>VLOOKUP(Table26[[#This Row],[Edumis]],'[4]2016 PBRF Indicative Allocation'!$A:$I,9,FALSE)</f>
        <v>0</v>
      </c>
      <c r="E18" s="6">
        <f>SUM(Table26[[#This Row],[Quality 
Evaluation]:[Research Degree Completion]])</f>
        <v>463643.86973856197</v>
      </c>
      <c r="F18" s="92">
        <f>VLOOKUP(Table26[[#This Row],[TEOs]],'1.1'!$A:$F,6,FALSE)</f>
        <v>6006</v>
      </c>
    </row>
    <row r="19" spans="1:6" x14ac:dyDescent="0.2">
      <c r="A19" s="4" t="s">
        <v>15</v>
      </c>
      <c r="B19" s="5">
        <f>VLOOKUP(Table26[[#This Row],[Edumis]],'[4]2016 PBRF Indicative Allocation'!$A:$I,5,FALSE)</f>
        <v>372221.67435512959</v>
      </c>
      <c r="C19" s="5">
        <f>VLOOKUP(Table26[[#This Row],[Edumis]],'[4]2016 PBRF Indicative Allocation'!$A:$I,7,FALSE)</f>
        <v>9051.1827551352344</v>
      </c>
      <c r="D19" s="5">
        <f>VLOOKUP(Table26[[#This Row],[Edumis]],'[4]2016 PBRF Indicative Allocation'!$A:$I,9,FALSE)</f>
        <v>0</v>
      </c>
      <c r="E19" s="6">
        <f>SUM(Table26[[#This Row],[Quality 
Evaluation]:[Research Degree Completion]])</f>
        <v>381272.85711026483</v>
      </c>
      <c r="F19" s="92">
        <f>VLOOKUP(Table26[[#This Row],[TEOs]],'1.1'!$A:$F,6,FALSE)</f>
        <v>6010</v>
      </c>
    </row>
    <row r="20" spans="1:6" x14ac:dyDescent="0.2">
      <c r="A20" s="4" t="s">
        <v>17</v>
      </c>
      <c r="B20" s="5">
        <f>VLOOKUP(Table26[[#This Row],[Edumis]],'[4]2016 PBRF Indicative Allocation'!$A:$I,5,FALSE)</f>
        <v>143244.89892892845</v>
      </c>
      <c r="C20" s="5">
        <f>VLOOKUP(Table26[[#This Row],[Edumis]],'[4]2016 PBRF Indicative Allocation'!$A:$I,7,FALSE)</f>
        <v>0</v>
      </c>
      <c r="D20" s="5">
        <f>VLOOKUP(Table26[[#This Row],[Edumis]],'[4]2016 PBRF Indicative Allocation'!$A:$I,9,FALSE)</f>
        <v>124612.83083257516</v>
      </c>
      <c r="E20" s="6">
        <f>SUM(Table26[[#This Row],[Quality 
Evaluation]:[Research Degree Completion]])</f>
        <v>267857.72976150364</v>
      </c>
      <c r="F20" s="92">
        <f>VLOOKUP(Table26[[#This Row],[TEOs]],'1.1'!$A:$F,6,FALSE)</f>
        <v>8509</v>
      </c>
    </row>
    <row r="21" spans="1:6" x14ac:dyDescent="0.2">
      <c r="A21" s="4" t="s">
        <v>20</v>
      </c>
      <c r="B21" s="5">
        <f>VLOOKUP(Table26[[#This Row],[Edumis]],'[4]2016 PBRF Indicative Allocation'!$A:$I,5,FALSE)</f>
        <v>153802.53024216159</v>
      </c>
      <c r="C21" s="5">
        <f>VLOOKUP(Table26[[#This Row],[Edumis]],'[4]2016 PBRF Indicative Allocation'!$A:$I,7,FALSE)</f>
        <v>12916.616473778387</v>
      </c>
      <c r="D21" s="5">
        <f>VLOOKUP(Table26[[#This Row],[Edumis]],'[4]2016 PBRF Indicative Allocation'!$A:$I,9,FALSE)</f>
        <v>0</v>
      </c>
      <c r="E21" s="6">
        <f>SUM(Table26[[#This Row],[Quality 
Evaluation]:[Research Degree Completion]])</f>
        <v>166719.14671593998</v>
      </c>
      <c r="F21" s="92">
        <f>VLOOKUP(Table26[[#This Row],[TEOs]],'1.1'!$A:$F,6,FALSE)</f>
        <v>6014</v>
      </c>
    </row>
    <row r="22" spans="1:6" x14ac:dyDescent="0.2">
      <c r="A22" s="4" t="s">
        <v>18</v>
      </c>
      <c r="B22" s="5">
        <f>VLOOKUP(Table26[[#This Row],[Edumis]],'[4]2016 PBRF Indicative Allocation'!$A:$I,5,FALSE)</f>
        <v>145982.06260272962</v>
      </c>
      <c r="C22" s="5">
        <f>VLOOKUP(Table26[[#This Row],[Edumis]],'[4]2016 PBRF Indicative Allocation'!$A:$I,7,FALSE)</f>
        <v>2749.0837869032298</v>
      </c>
      <c r="D22" s="5">
        <f>VLOOKUP(Table26[[#This Row],[Edumis]],'[4]2016 PBRF Indicative Allocation'!$A:$I,9,FALSE)</f>
        <v>0</v>
      </c>
      <c r="E22" s="6">
        <f>SUM(Table26[[#This Row],[Quality 
Evaluation]:[Research Degree Completion]])</f>
        <v>148731.14638963286</v>
      </c>
      <c r="F22" s="92">
        <f>VLOOKUP(Table26[[#This Row],[TEOs]],'1.1'!$A:$F,6,FALSE)</f>
        <v>6022</v>
      </c>
    </row>
    <row r="23" spans="1:6" x14ac:dyDescent="0.2">
      <c r="A23" s="4" t="s">
        <v>41</v>
      </c>
      <c r="B23" s="5">
        <f>VLOOKUP(Table26[[#This Row],[Edumis]],'[4]2016 PBRF Indicative Allocation'!$A:$I,5,FALSE)</f>
        <v>116133.94444556438</v>
      </c>
      <c r="C23" s="5">
        <f>VLOOKUP(Table26[[#This Row],[Edumis]],'[4]2016 PBRF Indicative Allocation'!$A:$I,7,FALSE)</f>
        <v>27413.887180553815</v>
      </c>
      <c r="D23" s="5">
        <f>VLOOKUP(Table26[[#This Row],[Edumis]],'[4]2016 PBRF Indicative Allocation'!$A:$I,9,FALSE)</f>
        <v>0</v>
      </c>
      <c r="E23" s="6">
        <f>SUM(Table26[[#This Row],[Quality 
Evaluation]:[Research Degree Completion]])</f>
        <v>143547.83162611819</v>
      </c>
      <c r="F23" s="92">
        <f>VLOOKUP(Table26[[#This Row],[TEOs]],'1.1'!$A:$F,6,FALSE)</f>
        <v>6008</v>
      </c>
    </row>
    <row r="24" spans="1:6" x14ac:dyDescent="0.2">
      <c r="A24" s="4" t="s">
        <v>22</v>
      </c>
      <c r="B24" s="5">
        <f>VLOOKUP(Table26[[#This Row],[Edumis]],'[4]2016 PBRF Indicative Allocation'!$A:$I,5,FALSE)</f>
        <v>94497.317309802675</v>
      </c>
      <c r="C24" s="5">
        <f>VLOOKUP(Table26[[#This Row],[Edumis]],'[4]2016 PBRF Indicative Allocation'!$A:$I,7,FALSE)</f>
        <v>447.77834638929704</v>
      </c>
      <c r="D24" s="5">
        <f>VLOOKUP(Table26[[#This Row],[Edumis]],'[4]2016 PBRF Indicative Allocation'!$A:$I,9,FALSE)</f>
        <v>0</v>
      </c>
      <c r="E24" s="6">
        <f>SUM(Table26[[#This Row],[Quality 
Evaluation]:[Research Degree Completion]])</f>
        <v>94945.095656191974</v>
      </c>
      <c r="F24" s="92">
        <f>VLOOKUP(Table26[[#This Row],[TEOs]],'1.1'!$A:$F,6,FALSE)</f>
        <v>6012</v>
      </c>
    </row>
    <row r="25" spans="1:6" x14ac:dyDescent="0.2">
      <c r="A25" s="4" t="s">
        <v>21</v>
      </c>
      <c r="B25" s="5">
        <f>VLOOKUP(Table26[[#This Row],[Edumis]],'[4]2016 PBRF Indicative Allocation'!$A:$I,5,FALSE)</f>
        <v>67777.3862084102</v>
      </c>
      <c r="C25" s="5">
        <f>VLOOKUP(Table26[[#This Row],[Edumis]],'[4]2016 PBRF Indicative Allocation'!$A:$I,7,FALSE)</f>
        <v>2129.6181285714388</v>
      </c>
      <c r="D25" s="5">
        <f>VLOOKUP(Table26[[#This Row],[Edumis]],'[4]2016 PBRF Indicative Allocation'!$A:$I,9,FALSE)</f>
        <v>23473.579761485089</v>
      </c>
      <c r="E25" s="6">
        <f>SUM(Table26[[#This Row],[Quality 
Evaluation]:[Research Degree Completion]])</f>
        <v>93380.58409846673</v>
      </c>
      <c r="F25" s="92">
        <f>VLOOKUP(Table26[[#This Row],[TEOs]],'1.1'!$A:$F,6,FALSE)</f>
        <v>8563</v>
      </c>
    </row>
    <row r="26" spans="1:6" x14ac:dyDescent="0.2">
      <c r="A26" s="4" t="s">
        <v>23</v>
      </c>
      <c r="B26" s="5">
        <f>VLOOKUP(Table26[[#This Row],[Edumis]],'[4]2016 PBRF Indicative Allocation'!$A:$I,5,FALSE)</f>
        <v>48877.922746449658</v>
      </c>
      <c r="C26" s="5">
        <f>VLOOKUP(Table26[[#This Row],[Edumis]],'[4]2016 PBRF Indicative Allocation'!$A:$I,7,FALSE)</f>
        <v>0</v>
      </c>
      <c r="D26" s="5">
        <f>VLOOKUP(Table26[[#This Row],[Edumis]],'[4]2016 PBRF Indicative Allocation'!$A:$I,9,FALSE)</f>
        <v>0</v>
      </c>
      <c r="E26" s="6">
        <f>SUM(Table26[[#This Row],[Quality 
Evaluation]:[Research Degree Completion]])</f>
        <v>48877.922746449658</v>
      </c>
      <c r="F26" s="92">
        <f>VLOOKUP(Table26[[#This Row],[TEOs]],'1.1'!$A:$F,6,FALSE)</f>
        <v>8979</v>
      </c>
    </row>
    <row r="27" spans="1:6" x14ac:dyDescent="0.2">
      <c r="A27" s="4" t="s">
        <v>42</v>
      </c>
      <c r="B27" s="5">
        <f>VLOOKUP(Table26[[#This Row],[Edumis]],'[4]2016 PBRF Indicative Allocation'!$A:$I,5,FALSE)</f>
        <v>26068.22546477315</v>
      </c>
      <c r="C27" s="5">
        <f>VLOOKUP(Table26[[#This Row],[Edumis]],'[4]2016 PBRF Indicative Allocation'!$A:$I,7,FALSE)</f>
        <v>19933.553781422579</v>
      </c>
      <c r="D27" s="5">
        <f>VLOOKUP(Table26[[#This Row],[Edumis]],'[4]2016 PBRF Indicative Allocation'!$A:$I,9,FALSE)</f>
        <v>0</v>
      </c>
      <c r="E27" s="6">
        <f>SUM(Table26[[#This Row],[Quality 
Evaluation]:[Research Degree Completion]])</f>
        <v>46001.779246195729</v>
      </c>
      <c r="F27" s="92">
        <f>VLOOKUP(Table26[[#This Row],[TEOs]],'1.1'!$A:$F,6,FALSE)</f>
        <v>8396</v>
      </c>
    </row>
    <row r="28" spans="1:6" x14ac:dyDescent="0.2">
      <c r="A28" s="4" t="s">
        <v>25</v>
      </c>
      <c r="B28" s="5">
        <f>VLOOKUP(Table26[[#This Row],[Edumis]],'[4]2016 PBRF Indicative Allocation'!$A:$I,5,FALSE)</f>
        <v>37798.926923921077</v>
      </c>
      <c r="C28" s="5">
        <f>VLOOKUP(Table26[[#This Row],[Edumis]],'[4]2016 PBRF Indicative Allocation'!$A:$I,7,FALSE)</f>
        <v>0</v>
      </c>
      <c r="D28" s="5">
        <f>VLOOKUP(Table26[[#This Row],[Edumis]],'[4]2016 PBRF Indicative Allocation'!$A:$I,9,FALSE)</f>
        <v>0</v>
      </c>
      <c r="E28" s="6">
        <f>SUM(Table26[[#This Row],[Quality 
Evaluation]:[Research Degree Completion]])</f>
        <v>37798.926923921077</v>
      </c>
      <c r="F28" s="92">
        <f>VLOOKUP(Table26[[#This Row],[TEOs]],'1.1'!$A:$F,6,FALSE)</f>
        <v>8530</v>
      </c>
    </row>
    <row r="29" spans="1:6" x14ac:dyDescent="0.2">
      <c r="A29" s="4" t="s">
        <v>24</v>
      </c>
      <c r="B29" s="5">
        <f>VLOOKUP(Table26[[#This Row],[Edumis]],'[4]2016 PBRF Indicative Allocation'!$A:$I,5,FALSE)</f>
        <v>19551.169098579863</v>
      </c>
      <c r="C29" s="5">
        <f>VLOOKUP(Table26[[#This Row],[Edumis]],'[4]2016 PBRF Indicative Allocation'!$A:$I,7,FALSE)</f>
        <v>11471.879229224744</v>
      </c>
      <c r="D29" s="5">
        <f>VLOOKUP(Table26[[#This Row],[Edumis]],'[4]2016 PBRF Indicative Allocation'!$A:$I,9,FALSE)</f>
        <v>0</v>
      </c>
      <c r="E29" s="6">
        <f>SUM(Table26[[#This Row],[Quality 
Evaluation]:[Research Degree Completion]])</f>
        <v>31023.048327804609</v>
      </c>
      <c r="F29" s="92">
        <f>VLOOKUP(Table26[[#This Row],[TEOs]],'1.1'!$A:$F,6,FALSE)</f>
        <v>8694</v>
      </c>
    </row>
    <row r="30" spans="1:6" x14ac:dyDescent="0.2">
      <c r="A30" s="4" t="s">
        <v>43</v>
      </c>
      <c r="B30" s="5">
        <f>VLOOKUP(Table26[[#This Row],[Edumis]],'[4]2016 PBRF Indicative Allocation'!$A:$I,5,FALSE)</f>
        <v>19551.169098579863</v>
      </c>
      <c r="C30" s="5">
        <f>VLOOKUP(Table26[[#This Row],[Edumis]],'[4]2016 PBRF Indicative Allocation'!$A:$I,7,FALSE)</f>
        <v>3834.8517487906056</v>
      </c>
      <c r="D30" s="5">
        <f>VLOOKUP(Table26[[#This Row],[Edumis]],'[4]2016 PBRF Indicative Allocation'!$A:$I,9,FALSE)</f>
        <v>0</v>
      </c>
      <c r="E30" s="6">
        <f>SUM(Table26[[#This Row],[Quality 
Evaluation]:[Research Degree Completion]])</f>
        <v>23386.02084737047</v>
      </c>
      <c r="F30" s="92">
        <f>VLOOKUP(Table26[[#This Row],[TEOs]],'1.1'!$A:$F,6,FALSE)</f>
        <v>8619</v>
      </c>
    </row>
    <row r="31" spans="1:6" x14ac:dyDescent="0.2">
      <c r="A31" s="4" t="s">
        <v>26</v>
      </c>
      <c r="B31" s="5">
        <f>VLOOKUP(Table26[[#This Row],[Edumis]],'[4]2016 PBRF Indicative Allocation'!$A:$I,5,FALSE)</f>
        <v>13034.112732386575</v>
      </c>
      <c r="C31" s="5">
        <f>VLOOKUP(Table26[[#This Row],[Edumis]],'[4]2016 PBRF Indicative Allocation'!$A:$I,7,FALSE)</f>
        <v>0</v>
      </c>
      <c r="D31" s="5">
        <f>VLOOKUP(Table26[[#This Row],[Edumis]],'[4]2016 PBRF Indicative Allocation'!$A:$I,9,FALSE)</f>
        <v>0</v>
      </c>
      <c r="E31" s="6">
        <f>SUM(Table26[[#This Row],[Quality 
Evaluation]:[Research Degree Completion]])</f>
        <v>13034.112732386575</v>
      </c>
      <c r="F31" s="92">
        <f>VLOOKUP(Table26[[#This Row],[TEOs]],'1.1'!$A:$F,6,FALSE)</f>
        <v>8717</v>
      </c>
    </row>
    <row r="32" spans="1:6" x14ac:dyDescent="0.2">
      <c r="A32" s="7" t="s">
        <v>27</v>
      </c>
      <c r="B32" s="6">
        <f>SUBTOTAL(109,B5:B31)</f>
        <v>165000000.00000003</v>
      </c>
      <c r="C32" s="6">
        <f>SUBTOTAL(109,C5:C31)</f>
        <v>59999999.999999985</v>
      </c>
      <c r="D32" s="6">
        <f>SUBTOTAL(109,D5:D31)</f>
        <v>75000000</v>
      </c>
      <c r="E32" s="6">
        <f>SUBTOTAL(109,E5:E31)</f>
        <v>300000000</v>
      </c>
      <c r="F32" s="92"/>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workbookViewId="0">
      <selection activeCell="E33" sqref="E33"/>
    </sheetView>
  </sheetViews>
  <sheetFormatPr defaultRowHeight="15" x14ac:dyDescent="0.2"/>
  <cols>
    <col min="1" max="1" width="30.88671875" bestFit="1" customWidth="1"/>
    <col min="2" max="5" width="10.88671875" customWidth="1"/>
  </cols>
  <sheetData>
    <row r="2" spans="1:5" ht="15.75" x14ac:dyDescent="0.25">
      <c r="A2" s="1" t="s">
        <v>162</v>
      </c>
      <c r="E2" s="2" t="s">
        <v>0</v>
      </c>
    </row>
    <row r="4" spans="1:5" ht="33.75" customHeight="1" x14ac:dyDescent="0.2">
      <c r="A4" s="3" t="s">
        <v>2</v>
      </c>
      <c r="B4" s="3" t="s">
        <v>163</v>
      </c>
      <c r="C4" s="3" t="s">
        <v>164</v>
      </c>
      <c r="D4" s="3" t="s">
        <v>30</v>
      </c>
      <c r="E4" s="3" t="s">
        <v>31</v>
      </c>
    </row>
    <row r="5" spans="1:5" x14ac:dyDescent="0.2">
      <c r="A5" s="4" t="s">
        <v>6</v>
      </c>
      <c r="B5" s="5">
        <f>VLOOKUP(Table2357[[#This Row],[TEOs]],'1.1'!$A:$E,5,FALSE)</f>
        <v>85255714.903838918</v>
      </c>
      <c r="C5" s="5">
        <f>VLOOKUP(Table2357[[#This Row],[TEOs]],'1.4'!$A:$E,5,FALSE)</f>
        <v>89573278.50583148</v>
      </c>
      <c r="D5" s="10">
        <f>Table2357[[#This Row],[2016 Indicative Funding]]-Table2357[[#This Row],[2015 Final Funding]]</f>
        <v>4317563.6019925624</v>
      </c>
      <c r="E5" s="9">
        <f>Table2357[[#This Row],[Change($)]]/Table2357[[#This Row],[2015 Final Funding]]</f>
        <v>5.0642512432889704E-2</v>
      </c>
    </row>
    <row r="6" spans="1:5" x14ac:dyDescent="0.2">
      <c r="A6" s="4" t="s">
        <v>38</v>
      </c>
      <c r="B6" s="5">
        <f>VLOOKUP(Table2357[[#This Row],[TEOs]],'1.1'!$A:$E,5,FALSE)</f>
        <v>58117656.318938158</v>
      </c>
      <c r="C6" s="5">
        <f>VLOOKUP(Table2357[[#This Row],[TEOs]],'1.4'!$A:$E,5,FALSE)</f>
        <v>60141500.444209047</v>
      </c>
      <c r="D6" s="10">
        <f>Table2357[[#This Row],[2016 Indicative Funding]]-Table2357[[#This Row],[2015 Final Funding]]</f>
        <v>2023844.1252708882</v>
      </c>
      <c r="E6" s="9">
        <f>Table2357[[#This Row],[Change($)]]/Table2357[[#This Row],[2015 Final Funding]]</f>
        <v>3.4823223327596582E-2</v>
      </c>
    </row>
    <row r="7" spans="1:5" x14ac:dyDescent="0.2">
      <c r="A7" s="4" t="s">
        <v>7</v>
      </c>
      <c r="B7" s="5">
        <f>VLOOKUP(Table2357[[#This Row],[TEOs]],'1.1'!$A:$E,5,FALSE)</f>
        <v>38850186.226906784</v>
      </c>
      <c r="C7" s="5">
        <f>VLOOKUP(Table2357[[#This Row],[TEOs]],'1.4'!$A:$E,5,FALSE)</f>
        <v>40567067.276736207</v>
      </c>
      <c r="D7" s="10">
        <f>Table2357[[#This Row],[2016 Indicative Funding]]-Table2357[[#This Row],[2015 Final Funding]]</f>
        <v>1716881.0498294234</v>
      </c>
      <c r="E7" s="9">
        <f>Table2357[[#This Row],[Change($)]]/Table2357[[#This Row],[2015 Final Funding]]</f>
        <v>4.4192350579785621E-2</v>
      </c>
    </row>
    <row r="8" spans="1:5" x14ac:dyDescent="0.2">
      <c r="A8" s="4" t="s">
        <v>8</v>
      </c>
      <c r="B8" s="5">
        <f>VLOOKUP(Table2357[[#This Row],[TEOs]],'1.1'!$A:$E,5,FALSE)</f>
        <v>29988937.375998501</v>
      </c>
      <c r="C8" s="5">
        <f>VLOOKUP(Table2357[[#This Row],[TEOs]],'1.4'!$A:$E,5,FALSE)</f>
        <v>31977786.988399122</v>
      </c>
      <c r="D8" s="10">
        <f>Table2357[[#This Row],[2016 Indicative Funding]]-Table2357[[#This Row],[2015 Final Funding]]</f>
        <v>1988849.6124006212</v>
      </c>
      <c r="E8" s="9">
        <f>Table2357[[#This Row],[Change($)]]/Table2357[[#This Row],[2015 Final Funding]]</f>
        <v>6.6319442648621066E-2</v>
      </c>
    </row>
    <row r="9" spans="1:5" x14ac:dyDescent="0.2">
      <c r="A9" s="4" t="s">
        <v>37</v>
      </c>
      <c r="B9" s="5">
        <f>VLOOKUP(Table2357[[#This Row],[TEOs]],'1.1'!$A:$E,5,FALSE)</f>
        <v>27803344.747226365</v>
      </c>
      <c r="C9" s="5">
        <f>VLOOKUP(Table2357[[#This Row],[TEOs]],'1.4'!$A:$E,5,FALSE)</f>
        <v>28759241.690143034</v>
      </c>
      <c r="D9" s="10">
        <f>Table2357[[#This Row],[2016 Indicative Funding]]-Table2357[[#This Row],[2015 Final Funding]]</f>
        <v>955896.94291666895</v>
      </c>
      <c r="E9" s="9">
        <f>Table2357[[#This Row],[Change($)]]/Table2357[[#This Row],[2015 Final Funding]]</f>
        <v>3.4380645624013578E-2</v>
      </c>
    </row>
    <row r="10" spans="1:5" x14ac:dyDescent="0.2">
      <c r="A10" s="4" t="s">
        <v>9</v>
      </c>
      <c r="B10" s="5">
        <f>VLOOKUP(Table2357[[#This Row],[TEOs]],'1.1'!$A:$E,5,FALSE)</f>
        <v>15627245.198568605</v>
      </c>
      <c r="C10" s="5">
        <f>VLOOKUP(Table2357[[#This Row],[TEOs]],'1.4'!$A:$E,5,FALSE)</f>
        <v>15833450.124570303</v>
      </c>
      <c r="D10" s="10">
        <f>Table2357[[#This Row],[2016 Indicative Funding]]-Table2357[[#This Row],[2015 Final Funding]]</f>
        <v>206204.92600169778</v>
      </c>
      <c r="E10" s="9">
        <f>Table2357[[#This Row],[Change($)]]/Table2357[[#This Row],[2015 Final Funding]]</f>
        <v>1.3195219207322948E-2</v>
      </c>
    </row>
    <row r="11" spans="1:5" x14ac:dyDescent="0.2">
      <c r="A11" s="4" t="s">
        <v>11</v>
      </c>
      <c r="B11" s="5">
        <f>VLOOKUP(Table2357[[#This Row],[TEOs]],'1.1'!$A:$E,5,FALSE)</f>
        <v>13833489.209945347</v>
      </c>
      <c r="C11" s="5">
        <f>VLOOKUP(Table2357[[#This Row],[TEOs]],'1.4'!$A:$E,5,FALSE)</f>
        <v>14239358.038537439</v>
      </c>
      <c r="D11" s="10">
        <f>Table2357[[#This Row],[2016 Indicative Funding]]-Table2357[[#This Row],[2015 Final Funding]]</f>
        <v>405868.8285920918</v>
      </c>
      <c r="E11" s="9">
        <f>Table2357[[#This Row],[Change($)]]/Table2357[[#This Row],[2015 Final Funding]]</f>
        <v>2.9339584715929762E-2</v>
      </c>
    </row>
    <row r="12" spans="1:5" x14ac:dyDescent="0.2">
      <c r="A12" s="4" t="s">
        <v>10</v>
      </c>
      <c r="B12" s="5">
        <f>VLOOKUP(Table2357[[#This Row],[TEOs]],'1.1'!$A:$E,5,FALSE)</f>
        <v>9849726.3624162674</v>
      </c>
      <c r="C12" s="5">
        <f>VLOOKUP(Table2357[[#This Row],[TEOs]],'1.4'!$A:$E,5,FALSE)</f>
        <v>10665471.666834556</v>
      </c>
      <c r="D12" s="10">
        <f>Table2357[[#This Row],[2016 Indicative Funding]]-Table2357[[#This Row],[2015 Final Funding]]</f>
        <v>815745.30441828817</v>
      </c>
      <c r="E12" s="9">
        <f>Table2357[[#This Row],[Change($)]]/Table2357[[#This Row],[2015 Final Funding]]</f>
        <v>8.2819082927109364E-2</v>
      </c>
    </row>
    <row r="13" spans="1:5" x14ac:dyDescent="0.2">
      <c r="A13" s="4" t="s">
        <v>12</v>
      </c>
      <c r="B13" s="5">
        <f>VLOOKUP(Table2357[[#This Row],[TEOs]],'1.1'!$A:$E,5,FALSE)</f>
        <v>3300023.0458151316</v>
      </c>
      <c r="C13" s="5">
        <f>VLOOKUP(Table2357[[#This Row],[TEOs]],'1.4'!$A:$E,5,FALSE)</f>
        <v>3452740.2109035766</v>
      </c>
      <c r="D13" s="10">
        <f>Table2357[[#This Row],[2016 Indicative Funding]]-Table2357[[#This Row],[2015 Final Funding]]</f>
        <v>152717.16508844495</v>
      </c>
      <c r="E13" s="9">
        <f>Table2357[[#This Row],[Change($)]]/Table2357[[#This Row],[2015 Final Funding]]</f>
        <v>4.627760563130328E-2</v>
      </c>
    </row>
    <row r="14" spans="1:5" x14ac:dyDescent="0.2">
      <c r="A14" s="4" t="s">
        <v>14</v>
      </c>
      <c r="B14" s="5">
        <f>VLOOKUP(Table2357[[#This Row],[TEOs]],'1.1'!$A:$E,5,FALSE)</f>
        <v>1147073.2152783386</v>
      </c>
      <c r="C14" s="5">
        <f>VLOOKUP(Table2357[[#This Row],[TEOs]],'1.4'!$A:$E,5,FALSE)</f>
        <v>1121514.8911819856</v>
      </c>
      <c r="D14" s="10">
        <f>Table2357[[#This Row],[2016 Indicative Funding]]-Table2357[[#This Row],[2015 Final Funding]]</f>
        <v>-25558.324096353026</v>
      </c>
      <c r="E14" s="9">
        <f>Table2357[[#This Row],[Change($)]]/Table2357[[#This Row],[2015 Final Funding]]</f>
        <v>-2.2281336322678643E-2</v>
      </c>
    </row>
    <row r="15" spans="1:5" x14ac:dyDescent="0.2">
      <c r="A15" s="4" t="s">
        <v>13</v>
      </c>
      <c r="B15" s="5">
        <f>VLOOKUP(Table2357[[#This Row],[TEOs]],'1.1'!$A:$E,5,FALSE)</f>
        <v>637020.71141207241</v>
      </c>
      <c r="C15" s="5">
        <f>VLOOKUP(Table2357[[#This Row],[TEOs]],'1.4'!$A:$E,5,FALSE)</f>
        <v>654646.4947030691</v>
      </c>
      <c r="D15" s="10">
        <f>Table2357[[#This Row],[2016 Indicative Funding]]-Table2357[[#This Row],[2015 Final Funding]]</f>
        <v>17625.783290996682</v>
      </c>
      <c r="E15" s="9">
        <f>Table2357[[#This Row],[Change($)]]/Table2357[[#This Row],[2015 Final Funding]]</f>
        <v>2.7669089835283257E-2</v>
      </c>
    </row>
    <row r="16" spans="1:5" x14ac:dyDescent="0.2">
      <c r="A16" s="4" t="s">
        <v>19</v>
      </c>
      <c r="B16" s="5">
        <f>VLOOKUP(Table2357[[#This Row],[TEOs]],'1.1'!$A:$E,5,FALSE)</f>
        <v>580542.01755295659</v>
      </c>
      <c r="C16" s="5">
        <f>VLOOKUP(Table2357[[#This Row],[TEOs]],'1.4'!$A:$E,5,FALSE)</f>
        <v>492705.14431405463</v>
      </c>
      <c r="D16" s="10">
        <f>Table2357[[#This Row],[2016 Indicative Funding]]-Table2357[[#This Row],[2015 Final Funding]]</f>
        <v>-87836.873238901957</v>
      </c>
      <c r="E16" s="9">
        <f>Table2357[[#This Row],[Change($)]]/Table2357[[#This Row],[2015 Final Funding]]</f>
        <v>-0.15130149168038393</v>
      </c>
    </row>
    <row r="17" spans="1:5" x14ac:dyDescent="0.2">
      <c r="A17" s="18" t="s">
        <v>40</v>
      </c>
      <c r="B17" s="5">
        <f>VLOOKUP(Table2357[[#This Row],[TEOs]],'1.1'!$A:$E,5,FALSE)</f>
        <v>528524.56995166384</v>
      </c>
      <c r="C17" s="5">
        <f>VLOOKUP(Table2357[[#This Row],[TEOs]],'1.4'!$A:$E,5,FALSE)</f>
        <v>561018.45171532489</v>
      </c>
      <c r="D17" s="10">
        <f>Table2357[[#This Row],[2016 Indicative Funding]]-Table2357[[#This Row],[2015 Final Funding]]</f>
        <v>32493.881763661047</v>
      </c>
      <c r="E17" s="9">
        <f>Table2357[[#This Row],[Change($)]]/Table2357[[#This Row],[2015 Final Funding]]</f>
        <v>6.1480361767538586E-2</v>
      </c>
    </row>
    <row r="18" spans="1:5" x14ac:dyDescent="0.2">
      <c r="A18" s="4" t="s">
        <v>16</v>
      </c>
      <c r="B18" s="5">
        <f>VLOOKUP(Table2357[[#This Row],[TEOs]],'1.1'!$A:$E,5,FALSE)</f>
        <v>484113.6632916017</v>
      </c>
      <c r="C18" s="5">
        <f>VLOOKUP(Table2357[[#This Row],[TEOs]],'1.4'!$A:$E,5,FALSE)</f>
        <v>463643.86973856197</v>
      </c>
      <c r="D18" s="10">
        <f>Table2357[[#This Row],[2016 Indicative Funding]]-Table2357[[#This Row],[2015 Final Funding]]</f>
        <v>-20469.793553039723</v>
      </c>
      <c r="E18" s="9">
        <f>Table2357[[#This Row],[Change($)]]/Table2357[[#This Row],[2015 Final Funding]]</f>
        <v>-4.2283032075279225E-2</v>
      </c>
    </row>
    <row r="19" spans="1:5" x14ac:dyDescent="0.2">
      <c r="A19" s="4" t="s">
        <v>15</v>
      </c>
      <c r="B19" s="5">
        <f>VLOOKUP(Table2357[[#This Row],[TEOs]],'1.1'!$A:$E,5,FALSE)</f>
        <v>393263.92073662509</v>
      </c>
      <c r="C19" s="5">
        <f>VLOOKUP(Table2357[[#This Row],[TEOs]],'1.4'!$A:$E,5,FALSE)</f>
        <v>381272.85711026483</v>
      </c>
      <c r="D19" s="10">
        <f>Table2357[[#This Row],[2016 Indicative Funding]]-Table2357[[#This Row],[2015 Final Funding]]</f>
        <v>-11991.063626360265</v>
      </c>
      <c r="E19" s="9">
        <f>Table2357[[#This Row],[Change($)]]/Table2357[[#This Row],[2015 Final Funding]]</f>
        <v>-3.0491135835445389E-2</v>
      </c>
    </row>
    <row r="20" spans="1:5" x14ac:dyDescent="0.2">
      <c r="A20" s="4" t="s">
        <v>17</v>
      </c>
      <c r="B20" s="5">
        <f>VLOOKUP(Table2357[[#This Row],[TEOs]],'1.1'!$A:$E,5,FALSE)</f>
        <v>228638.6724321135</v>
      </c>
      <c r="C20" s="5">
        <f>VLOOKUP(Table2357[[#This Row],[TEOs]],'1.4'!$A:$E,5,FALSE)</f>
        <v>267857.72976150364</v>
      </c>
      <c r="D20" s="10">
        <f>Table2357[[#This Row],[2016 Indicative Funding]]-Table2357[[#This Row],[2015 Final Funding]]</f>
        <v>39219.05732939014</v>
      </c>
      <c r="E20" s="9">
        <f>Table2357[[#This Row],[Change($)]]/Table2357[[#This Row],[2015 Final Funding]]</f>
        <v>0.17153291222435221</v>
      </c>
    </row>
    <row r="21" spans="1:5" x14ac:dyDescent="0.2">
      <c r="A21" s="4" t="s">
        <v>20</v>
      </c>
      <c r="B21" s="5">
        <f>VLOOKUP(Table2357[[#This Row],[TEOs]],'1.1'!$A:$E,5,FALSE)</f>
        <v>174173.13287831374</v>
      </c>
      <c r="C21" s="5">
        <f>VLOOKUP(Table2357[[#This Row],[TEOs]],'1.4'!$A:$E,5,FALSE)</f>
        <v>166719.14671593998</v>
      </c>
      <c r="D21" s="10">
        <f>Table2357[[#This Row],[2016 Indicative Funding]]-Table2357[[#This Row],[2015 Final Funding]]</f>
        <v>-7453.986162373767</v>
      </c>
      <c r="E21" s="9">
        <f>Table2357[[#This Row],[Change($)]]/Table2357[[#This Row],[2015 Final Funding]]</f>
        <v>-4.279641778954222E-2</v>
      </c>
    </row>
    <row r="22" spans="1:5" x14ac:dyDescent="0.2">
      <c r="A22" s="4" t="s">
        <v>41</v>
      </c>
      <c r="B22" s="5">
        <f>VLOOKUP(Table2357[[#This Row],[TEOs]],'1.1'!$A:$E,5,FALSE)</f>
        <v>153591.51680563268</v>
      </c>
      <c r="C22" s="5">
        <f>VLOOKUP(Table2357[[#This Row],[TEOs]],'1.4'!$A:$E,5,FALSE)</f>
        <v>143547.83162611819</v>
      </c>
      <c r="D22" s="10">
        <f>Table2357[[#This Row],[2016 Indicative Funding]]-Table2357[[#This Row],[2015 Final Funding]]</f>
        <v>-10043.68517951449</v>
      </c>
      <c r="E22" s="9">
        <f>Table2357[[#This Row],[Change($)]]/Table2357[[#This Row],[2015 Final Funding]]</f>
        <v>-6.539218694105739E-2</v>
      </c>
    </row>
    <row r="23" spans="1:5" x14ac:dyDescent="0.2">
      <c r="A23" s="4" t="s">
        <v>18</v>
      </c>
      <c r="B23" s="5">
        <f>VLOOKUP(Table2357[[#This Row],[TEOs]],'1.1'!$A:$E,5,FALSE)</f>
        <v>156732.36510955484</v>
      </c>
      <c r="C23" s="5">
        <f>VLOOKUP(Table2357[[#This Row],[TEOs]],'1.4'!$A:$E,5,FALSE)</f>
        <v>148731.14638963286</v>
      </c>
      <c r="D23" s="10">
        <f>Table2357[[#This Row],[2016 Indicative Funding]]-Table2357[[#This Row],[2015 Final Funding]]</f>
        <v>-8001.218719921977</v>
      </c>
      <c r="E23" s="9">
        <f>Table2357[[#This Row],[Change($)]]/Table2357[[#This Row],[2015 Final Funding]]</f>
        <v>-5.1050200858828235E-2</v>
      </c>
    </row>
    <row r="24" spans="1:5" x14ac:dyDescent="0.2">
      <c r="A24" s="4" t="s">
        <v>21</v>
      </c>
      <c r="B24" s="5">
        <f>VLOOKUP(Table2357[[#This Row],[TEOs]],'1.1'!$A:$E,5,FALSE)</f>
        <v>100832.1022999728</v>
      </c>
      <c r="C24" s="5">
        <f>VLOOKUP(Table2357[[#This Row],[TEOs]],'1.4'!$A:$E,5,FALSE)</f>
        <v>93380.58409846673</v>
      </c>
      <c r="D24" s="10">
        <f>Table2357[[#This Row],[2016 Indicative Funding]]-Table2357[[#This Row],[2015 Final Funding]]</f>
        <v>-7451.5182015060709</v>
      </c>
      <c r="E24" s="9">
        <f>Table2357[[#This Row],[Change($)]]/Table2357[[#This Row],[2015 Final Funding]]</f>
        <v>-7.3900256282845356E-2</v>
      </c>
    </row>
    <row r="25" spans="1:5" x14ac:dyDescent="0.2">
      <c r="A25" s="4" t="s">
        <v>22</v>
      </c>
      <c r="B25" s="5">
        <f>VLOOKUP(Table2357[[#This Row],[TEOs]],'1.1'!$A:$E,5,FALSE)</f>
        <v>99377.487464710328</v>
      </c>
      <c r="C25" s="5">
        <f>VLOOKUP(Table2357[[#This Row],[TEOs]],'1.4'!$A:$E,5,FALSE)</f>
        <v>94945.095656191974</v>
      </c>
      <c r="D25" s="10">
        <f>Table2357[[#This Row],[2016 Indicative Funding]]-Table2357[[#This Row],[2015 Final Funding]]</f>
        <v>-4432.3918085183541</v>
      </c>
      <c r="E25" s="9">
        <f>Table2357[[#This Row],[Change($)]]/Table2357[[#This Row],[2015 Final Funding]]</f>
        <v>-4.4601568439656201E-2</v>
      </c>
    </row>
    <row r="26" spans="1:5" x14ac:dyDescent="0.2">
      <c r="A26" s="4" t="s">
        <v>23</v>
      </c>
      <c r="B26" s="5">
        <f>VLOOKUP(Table2357[[#This Row],[TEOs]],'1.1'!$A:$E,5,FALSE)</f>
        <v>51099.646507651909</v>
      </c>
      <c r="C26" s="5">
        <f>VLOOKUP(Table2357[[#This Row],[TEOs]],'1.4'!$A:$E,5,FALSE)</f>
        <v>48877.922746449658</v>
      </c>
      <c r="D26" s="10">
        <f>Table2357[[#This Row],[2016 Indicative Funding]]-Table2357[[#This Row],[2015 Final Funding]]</f>
        <v>-2221.7237612022509</v>
      </c>
      <c r="E26" s="9">
        <f>Table2357[[#This Row],[Change($)]]/Table2357[[#This Row],[2015 Final Funding]]</f>
        <v>-4.3478260869565098E-2</v>
      </c>
    </row>
    <row r="27" spans="1:5" x14ac:dyDescent="0.2">
      <c r="A27" s="4" t="s">
        <v>25</v>
      </c>
      <c r="B27" s="5">
        <f>VLOOKUP(Table2357[[#This Row],[TEOs]],'1.1'!$A:$E,5,FALSE)</f>
        <v>39517.059965917484</v>
      </c>
      <c r="C27" s="5">
        <f>VLOOKUP(Table2357[[#This Row],[TEOs]],'1.4'!$A:$E,5,FALSE)</f>
        <v>37798.926923921077</v>
      </c>
      <c r="D27" s="10">
        <f>Table2357[[#This Row],[2016 Indicative Funding]]-Table2357[[#This Row],[2015 Final Funding]]</f>
        <v>-1718.133041996407</v>
      </c>
      <c r="E27" s="9">
        <f>Table2357[[#This Row],[Change($)]]/Table2357[[#This Row],[2015 Final Funding]]</f>
        <v>-4.3478260869565084E-2</v>
      </c>
    </row>
    <row r="28" spans="1:5" x14ac:dyDescent="0.2">
      <c r="A28" s="4" t="s">
        <v>42</v>
      </c>
      <c r="B28" s="5">
        <f>VLOOKUP(Table2357[[#This Row],[TEOs]],'1.1'!$A:$E,5,FALSE)</f>
        <v>35576.715929363119</v>
      </c>
      <c r="C28" s="5">
        <f>VLOOKUP(Table2357[[#This Row],[TEOs]],'1.4'!$A:$E,5,FALSE)</f>
        <v>46001.779246195729</v>
      </c>
      <c r="D28" s="10">
        <f>Table2357[[#This Row],[2016 Indicative Funding]]-Table2357[[#This Row],[2015 Final Funding]]</f>
        <v>10425.063316832609</v>
      </c>
      <c r="E28" s="9">
        <f>Table2357[[#This Row],[Change($)]]/Table2357[[#This Row],[2015 Final Funding]]</f>
        <v>0.29303051292118615</v>
      </c>
    </row>
    <row r="29" spans="1:5" x14ac:dyDescent="0.2">
      <c r="A29" s="4" t="s">
        <v>24</v>
      </c>
      <c r="B29" s="5">
        <f>VLOOKUP(Table2357[[#This Row],[TEOs]],'1.1'!$A:$E,5,FALSE)</f>
        <v>27330.054909183011</v>
      </c>
      <c r="C29" s="5">
        <f>VLOOKUP(Table2357[[#This Row],[TEOs]],'1.4'!$A:$E,5,FALSE)</f>
        <v>31023.048327804609</v>
      </c>
      <c r="D29" s="10">
        <f>Table2357[[#This Row],[2016 Indicative Funding]]-Table2357[[#This Row],[2015 Final Funding]]</f>
        <v>3692.9934186215978</v>
      </c>
      <c r="E29" s="9">
        <f>Table2357[[#This Row],[Change($)]]/Table2357[[#This Row],[2015 Final Funding]]</f>
        <v>0.13512572261172945</v>
      </c>
    </row>
    <row r="30" spans="1:5" x14ac:dyDescent="0.2">
      <c r="A30" s="4" t="s">
        <v>43</v>
      </c>
      <c r="B30" s="5">
        <f>VLOOKUP(Table2357[[#This Row],[TEOs]],'1.1'!$A:$E,5,FALSE)</f>
        <v>22643.185418222969</v>
      </c>
      <c r="C30" s="5">
        <f>VLOOKUP(Table2357[[#This Row],[TEOs]],'1.4'!$A:$E,5,FALSE)</f>
        <v>23386.02084737047</v>
      </c>
      <c r="D30" s="10">
        <f>Table2357[[#This Row],[2016 Indicative Funding]]-Table2357[[#This Row],[2015 Final Funding]]</f>
        <v>742.83542914750069</v>
      </c>
      <c r="E30" s="9">
        <f>Table2357[[#This Row],[Change($)]]/Table2357[[#This Row],[2015 Final Funding]]</f>
        <v>3.2806136390583787E-2</v>
      </c>
    </row>
    <row r="31" spans="1:5" x14ac:dyDescent="0.2">
      <c r="A31" s="4" t="s">
        <v>26</v>
      </c>
      <c r="B31" s="5">
        <f>VLOOKUP(Table2357[[#This Row],[TEOs]],'1.1'!$A:$E,5,FALSE)</f>
        <v>13626.57240204051</v>
      </c>
      <c r="C31" s="5">
        <f>VLOOKUP(Table2357[[#This Row],[TEOs]],'1.4'!$A:$E,5,FALSE)</f>
        <v>13034.112732386575</v>
      </c>
      <c r="D31" s="10">
        <f>Table2357[[#This Row],[2016 Indicative Funding]]-Table2357[[#This Row],[2015 Final Funding]]</f>
        <v>-592.45966965393563</v>
      </c>
      <c r="E31" s="9">
        <f>Table2357[[#This Row],[Change($)]]/Table2357[[#This Row],[2015 Final Funding]]</f>
        <v>-4.3478260869565244E-2</v>
      </c>
    </row>
    <row r="32" spans="1:5" x14ac:dyDescent="0.2">
      <c r="A32" s="7" t="s">
        <v>27</v>
      </c>
      <c r="B32" s="6">
        <f>SUBTOTAL(109,B5:B31)</f>
        <v>287500000.00000006</v>
      </c>
      <c r="C32" s="6">
        <f>SUBTOTAL(109,C5:C31)</f>
        <v>300000000</v>
      </c>
      <c r="D32" s="11">
        <f>SUBTOTAL(109,D5:D31)</f>
        <v>12499999.999999993</v>
      </c>
      <c r="E32" s="14">
        <f>Table2357[[#This Row],[Change($)]]/Table2357[[#This Row],[2015 Final Funding]]</f>
        <v>4.3478260869565181E-2</v>
      </c>
    </row>
  </sheetData>
  <pageMargins left="0.70866141732283472" right="0.70866141732283472" top="0.74803149606299213" bottom="0.74803149606299213" header="0.31496062992125984" footer="0.31496062992125984"/>
  <pageSetup paperSize="9" scale="87"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2"/>
  <sheetViews>
    <sheetView workbookViewId="0">
      <selection activeCell="G4" sqref="G4"/>
    </sheetView>
  </sheetViews>
  <sheetFormatPr defaultRowHeight="15" x14ac:dyDescent="0.2"/>
  <cols>
    <col min="1" max="1" width="34.21875" customWidth="1"/>
    <col min="2" max="4" width="14" customWidth="1"/>
    <col min="5" max="5" width="11.21875" customWidth="1"/>
    <col min="11" max="11" width="15.6640625" customWidth="1"/>
    <col min="12" max="12" width="14.109375" customWidth="1"/>
  </cols>
  <sheetData>
    <row r="2" spans="1:12" ht="15.75" x14ac:dyDescent="0.25">
      <c r="A2" s="1" t="s">
        <v>165</v>
      </c>
      <c r="D2" s="2"/>
      <c r="E2" s="2" t="s">
        <v>0</v>
      </c>
    </row>
    <row r="3" spans="1:12" x14ac:dyDescent="0.2">
      <c r="D3" s="2"/>
    </row>
    <row r="4" spans="1:12" ht="29.25" customHeight="1" x14ac:dyDescent="0.2">
      <c r="A4" s="3" t="s">
        <v>2</v>
      </c>
      <c r="B4" s="3" t="s">
        <v>89</v>
      </c>
      <c r="C4" s="3" t="s">
        <v>166</v>
      </c>
      <c r="D4" s="3" t="s">
        <v>30</v>
      </c>
      <c r="E4" s="3" t="s">
        <v>31</v>
      </c>
      <c r="I4" s="61"/>
      <c r="J4" s="61"/>
      <c r="K4" s="61"/>
      <c r="L4" s="61"/>
    </row>
    <row r="5" spans="1:12" x14ac:dyDescent="0.2">
      <c r="A5" s="4" t="s">
        <v>6</v>
      </c>
      <c r="B5" s="5">
        <f>VLOOKUP(Table23578[[#This Row],[TEOs]],'[2]1.1'!$A:$B,2,FALSE)</f>
        <v>46697968.909999996</v>
      </c>
      <c r="C5" s="5">
        <f>VLOOKUP(Table23578[[#This Row],[TEOs]],'1.1'!$A:$B,2,FALSE)</f>
        <v>48820603.863177411</v>
      </c>
      <c r="D5" s="10">
        <f>Table23578[[#This Row],[QE Final 
2015]]-Table23578[[#This Row],[QE Final 
2014]]</f>
        <v>2122634.9531774148</v>
      </c>
      <c r="E5" s="9">
        <f>Table23578[[#This Row],[Change($)]]/Table23578[[#This Row],[QE Final 
2014]]</f>
        <v>4.545454551285355E-2</v>
      </c>
      <c r="I5" s="61"/>
      <c r="J5" s="61"/>
      <c r="K5" s="62"/>
      <c r="L5" s="62"/>
    </row>
    <row r="6" spans="1:12" x14ac:dyDescent="0.2">
      <c r="A6" s="4" t="s">
        <v>38</v>
      </c>
      <c r="B6" s="5">
        <f>VLOOKUP(Table23578[[#This Row],[TEOs]],'[2]1.1'!$A:$B,2,FALSE)</f>
        <v>35254050.950000003</v>
      </c>
      <c r="C6" s="5">
        <f>VLOOKUP(Table23578[[#This Row],[TEOs]],'1.1'!$A:$B,2,FALSE)</f>
        <v>36856507.814835936</v>
      </c>
      <c r="D6" s="10">
        <f>Table23578[[#This Row],[QE Final 
2015]]-Table23578[[#This Row],[QE Final 
2014]]</f>
        <v>1602456.8648359329</v>
      </c>
      <c r="E6" s="9">
        <f>Table23578[[#This Row],[Change($)]]/Table23578[[#This Row],[QE Final 
2014]]</f>
        <v>4.5454545553038996E-2</v>
      </c>
      <c r="I6" s="61"/>
      <c r="J6" s="61"/>
      <c r="K6" s="62"/>
      <c r="L6" s="62"/>
    </row>
    <row r="7" spans="1:12" x14ac:dyDescent="0.2">
      <c r="A7" s="4" t="s">
        <v>7</v>
      </c>
      <c r="B7" s="5">
        <f>VLOOKUP(Table23578[[#This Row],[TEOs]],'[2]1.1'!$A:$B,2,FALSE)</f>
        <v>23113274.300000001</v>
      </c>
      <c r="C7" s="5">
        <f>VLOOKUP(Table23578[[#This Row],[TEOs]],'1.1'!$A:$B,2,FALSE)</f>
        <v>24163877.67728788</v>
      </c>
      <c r="D7" s="10">
        <f>Table23578[[#This Row],[QE Final 
2015]]-Table23578[[#This Row],[QE Final 
2014]]</f>
        <v>1050603.3772878796</v>
      </c>
      <c r="E7" s="9">
        <f>Table23578[[#This Row],[Change($)]]/Table23578[[#This Row],[QE Final 
2014]]</f>
        <v>4.5454545455201022E-2</v>
      </c>
      <c r="I7" s="61"/>
      <c r="J7" s="61"/>
      <c r="K7" s="62"/>
      <c r="L7" s="62"/>
    </row>
    <row r="8" spans="1:12" x14ac:dyDescent="0.2">
      <c r="A8" s="4" t="s">
        <v>8</v>
      </c>
      <c r="B8" s="5">
        <f>VLOOKUP(Table23578[[#This Row],[TEOs]],'[2]1.1'!$A:$B,2,FALSE)</f>
        <v>16923144.399999999</v>
      </c>
      <c r="C8" s="5">
        <f>VLOOKUP(Table23578[[#This Row],[TEOs]],'1.1'!$A:$B,2,FALSE)</f>
        <v>17692378.23154534</v>
      </c>
      <c r="D8" s="10">
        <f>Table23578[[#This Row],[QE Final 
2015]]-Table23578[[#This Row],[QE Final 
2014]]</f>
        <v>769233.83154534176</v>
      </c>
      <c r="E8" s="9">
        <f>Table23578[[#This Row],[Change($)]]/Table23578[[#This Row],[QE Final 
2014]]</f>
        <v>4.5454545169829184E-2</v>
      </c>
      <c r="I8" s="61"/>
      <c r="J8" s="61"/>
      <c r="K8" s="62"/>
      <c r="L8" s="62"/>
    </row>
    <row r="9" spans="1:12" x14ac:dyDescent="0.2">
      <c r="A9" s="4" t="s">
        <v>37</v>
      </c>
      <c r="B9" s="5">
        <f>VLOOKUP(Table23578[[#This Row],[TEOs]],'[2]1.1'!$A:$B,2,FALSE)</f>
        <v>16074667.1</v>
      </c>
      <c r="C9" s="5">
        <f>VLOOKUP(Table23578[[#This Row],[TEOs]],'1.1'!$A:$B,2,FALSE)</f>
        <v>16805333.79008051</v>
      </c>
      <c r="D9" s="10">
        <f>Table23578[[#This Row],[QE Final 
2015]]-Table23578[[#This Row],[QE Final 
2014]]</f>
        <v>730666.69008051045</v>
      </c>
      <c r="E9" s="9">
        <f>Table23578[[#This Row],[Change($)]]/Table23578[[#This Row],[QE Final 
2014]]</f>
        <v>4.5454545685771029E-2</v>
      </c>
      <c r="I9" s="61"/>
      <c r="J9" s="61"/>
      <c r="K9" s="62"/>
      <c r="L9" s="62"/>
    </row>
    <row r="10" spans="1:12" x14ac:dyDescent="0.2">
      <c r="A10" s="4" t="s">
        <v>9</v>
      </c>
      <c r="B10" s="5">
        <f>VLOOKUP(Table23578[[#This Row],[TEOs]],'[2]1.1'!$A:$B,2,FALSE)</f>
        <v>8961995.8800000008</v>
      </c>
      <c r="C10" s="5">
        <f>VLOOKUP(Table23578[[#This Row],[TEOs]],'1.1'!$A:$B,2,FALSE)</f>
        <v>9369359.3335236367</v>
      </c>
      <c r="D10" s="10">
        <f>Table23578[[#This Row],[QE Final 
2015]]-Table23578[[#This Row],[QE Final 
2014]]</f>
        <v>407363.45352363586</v>
      </c>
      <c r="E10" s="9">
        <f>Table23578[[#This Row],[Change($)]]/Table23578[[#This Row],[QE Final 
2014]]</f>
        <v>4.5454545949159243E-2</v>
      </c>
      <c r="I10" s="61"/>
      <c r="J10" s="61"/>
      <c r="K10" s="63"/>
      <c r="L10" s="63"/>
    </row>
    <row r="11" spans="1:12" x14ac:dyDescent="0.2">
      <c r="A11" s="4" t="s">
        <v>11</v>
      </c>
      <c r="B11" s="5">
        <f>VLOOKUP(Table23578[[#This Row],[TEOs]],'[2]1.1'!$A:$B,2,FALSE)</f>
        <v>8029212.21</v>
      </c>
      <c r="C11" s="5">
        <f>VLOOKUP(Table23578[[#This Row],[TEOs]],'1.1'!$A:$B,2,FALSE)</f>
        <v>8394176.4048860874</v>
      </c>
      <c r="D11" s="10">
        <f>Table23578[[#This Row],[QE Final 
2015]]-Table23578[[#This Row],[QE Final 
2014]]</f>
        <v>364964.19488608744</v>
      </c>
      <c r="E11" s="9">
        <f>Table23578[[#This Row],[Change($)]]/Table23578[[#This Row],[QE Final 
2014]]</f>
        <v>4.5454545893249897E-2</v>
      </c>
      <c r="I11" s="61"/>
      <c r="J11" s="61"/>
      <c r="K11" s="63"/>
      <c r="L11" s="63"/>
    </row>
    <row r="12" spans="1:12" x14ac:dyDescent="0.2">
      <c r="A12" s="4" t="s">
        <v>10</v>
      </c>
      <c r="B12" s="5">
        <f>VLOOKUP(Table23578[[#This Row],[TEOs]],'[2]1.1'!$A:$B,2,FALSE)</f>
        <v>4488361.8899999997</v>
      </c>
      <c r="C12" s="5">
        <f>VLOOKUP(Table23578[[#This Row],[TEOs]],'1.1'!$A:$B,2,FALSE)</f>
        <v>4692378.3395046592</v>
      </c>
      <c r="D12" s="10">
        <f>Table23578[[#This Row],[QE Final 
2015]]-Table23578[[#This Row],[QE Final 
2014]]</f>
        <v>204016.44950465951</v>
      </c>
      <c r="E12" s="9">
        <f>Table23578[[#This Row],[Change($)]]/Table23578[[#This Row],[QE Final 
2014]]</f>
        <v>4.5454545445456386E-2</v>
      </c>
      <c r="I12" s="61"/>
      <c r="J12" s="61"/>
      <c r="K12" s="63"/>
      <c r="L12" s="63"/>
    </row>
    <row r="13" spans="1:12" x14ac:dyDescent="0.2">
      <c r="A13" s="4" t="s">
        <v>12</v>
      </c>
      <c r="B13" s="5">
        <f>VLOOKUP(Table23578[[#This Row],[TEOs]],'[2]1.1'!$A:$B,2,FALSE)</f>
        <v>2038893.67</v>
      </c>
      <c r="C13" s="5">
        <f>VLOOKUP(Table23578[[#This Row],[TEOs]],'1.1'!$A:$B,2,FALSE)</f>
        <v>2131570.6544201928</v>
      </c>
      <c r="D13" s="10">
        <f>Table23578[[#This Row],[QE Final 
2015]]-Table23578[[#This Row],[QE Final 
2014]]</f>
        <v>92676.984420192894</v>
      </c>
      <c r="E13" s="9">
        <f>Table23578[[#This Row],[Change($)]]/Table23578[[#This Row],[QE Final 
2014]]</f>
        <v>4.5454545170172063E-2</v>
      </c>
      <c r="I13" s="61"/>
      <c r="J13" s="61"/>
      <c r="K13" s="63"/>
      <c r="L13" s="63"/>
    </row>
    <row r="14" spans="1:12" x14ac:dyDescent="0.2">
      <c r="A14" s="4" t="s">
        <v>14</v>
      </c>
      <c r="B14" s="5">
        <f>VLOOKUP(Table23578[[#This Row],[TEOs]],'[2]1.1'!$A:$B,2,FALSE)</f>
        <v>832071.69</v>
      </c>
      <c r="C14" s="5">
        <f>VLOOKUP(Table23578[[#This Row],[TEOs]],'1.1'!$A:$B,2,FALSE)</f>
        <v>869893.1290014619</v>
      </c>
      <c r="D14" s="10">
        <f>Table23578[[#This Row],[QE Final 
2015]]-Table23578[[#This Row],[QE Final 
2014]]</f>
        <v>37821.439001461957</v>
      </c>
      <c r="E14" s="9">
        <f>Table23578[[#This Row],[Change($)]]/Table23578[[#This Row],[QE Final 
2014]]</f>
        <v>4.5454543708201345E-2</v>
      </c>
      <c r="I14" s="61"/>
      <c r="J14" s="61"/>
      <c r="K14" s="61"/>
      <c r="L14" s="61"/>
    </row>
    <row r="15" spans="1:12" x14ac:dyDescent="0.2">
      <c r="A15" s="4" t="s">
        <v>19</v>
      </c>
      <c r="B15" s="5">
        <f>VLOOKUP(Table23578[[#This Row],[TEOs]],'[2]1.1'!$A:$B,2,FALSE)</f>
        <v>454597.27</v>
      </c>
      <c r="C15" s="5">
        <f>VLOOKUP(Table23578[[#This Row],[TEOs]],'1.1'!$A:$B,2,FALSE)</f>
        <v>475260.77895216789</v>
      </c>
      <c r="D15" s="10">
        <f>Table23578[[#This Row],[QE Final 
2015]]-Table23578[[#This Row],[QE Final 
2014]]</f>
        <v>20663.508952167875</v>
      </c>
      <c r="E15" s="9">
        <f>Table23578[[#This Row],[Change($)]]/Table23578[[#This Row],[QE Final 
2014]]</f>
        <v>4.5454538150147432E-2</v>
      </c>
      <c r="I15" s="61"/>
      <c r="J15" s="61"/>
      <c r="K15" s="61"/>
      <c r="L15" s="61"/>
    </row>
    <row r="16" spans="1:12" x14ac:dyDescent="0.2">
      <c r="A16" s="4" t="s">
        <v>16</v>
      </c>
      <c r="B16" s="5">
        <f>VLOOKUP(Table23578[[#This Row],[TEOs]],'[2]1.1'!$A:$B,2,FALSE)</f>
        <v>452479.22</v>
      </c>
      <c r="C16" s="5">
        <f>VLOOKUP(Table23578[[#This Row],[TEOs]],'1.1'!$A:$B,2,FALSE)</f>
        <v>473046.46093683637</v>
      </c>
      <c r="D16" s="10">
        <f>Table23578[[#This Row],[QE Final 
2015]]-Table23578[[#This Row],[QE Final 
2014]]</f>
        <v>20567.240936836402</v>
      </c>
      <c r="E16" s="9">
        <f>Table23578[[#This Row],[Change($)]]/Table23578[[#This Row],[QE Final 
2014]]</f>
        <v>4.5454553552396075E-2</v>
      </c>
    </row>
    <row r="17" spans="1:5" x14ac:dyDescent="0.2">
      <c r="A17" s="4" t="s">
        <v>15</v>
      </c>
      <c r="B17" s="5">
        <f>VLOOKUP(Table23578[[#This Row],[TEOs]],'[2]1.1'!$A:$B,2,FALSE)</f>
        <v>372221.67</v>
      </c>
      <c r="C17" s="5">
        <f>VLOOKUP(Table23578[[#This Row],[TEOs]],'1.1'!$A:$B,2,FALSE)</f>
        <v>389140.84137127188</v>
      </c>
      <c r="D17" s="10">
        <f>Table23578[[#This Row],[QE Final 
2015]]-Table23578[[#This Row],[QE Final 
2014]]</f>
        <v>16919.171371271892</v>
      </c>
      <c r="E17" s="9">
        <f>Table23578[[#This Row],[Change($)]]/Table23578[[#This Row],[QE Final 
2014]]</f>
        <v>4.5454557686745889E-2</v>
      </c>
    </row>
    <row r="18" spans="1:5" x14ac:dyDescent="0.2">
      <c r="A18" s="4" t="s">
        <v>13</v>
      </c>
      <c r="B18" s="5">
        <f>VLOOKUP(Table23578[[#This Row],[TEOs]],'[2]1.1'!$A:$B,2,FALSE)</f>
        <v>275671.48</v>
      </c>
      <c r="C18" s="5">
        <f>VLOOKUP(Table23578[[#This Row],[TEOs]],'1.1'!$A:$B,2,FALSE)</f>
        <v>288202.00630315678</v>
      </c>
      <c r="D18" s="10">
        <f>Table23578[[#This Row],[QE Final 
2015]]-Table23578[[#This Row],[QE Final 
2014]]</f>
        <v>12530.526303156803</v>
      </c>
      <c r="E18" s="9">
        <f>Table23578[[#This Row],[Change($)]]/Table23578[[#This Row],[QE Final 
2014]]</f>
        <v>4.5454561723819974E-2</v>
      </c>
    </row>
    <row r="19" spans="1:5" x14ac:dyDescent="0.2">
      <c r="A19" s="4" t="s">
        <v>20</v>
      </c>
      <c r="B19" s="5">
        <f>VLOOKUP(Table23578[[#This Row],[TEOs]],'[2]1.1'!$A:$B,2,FALSE)</f>
        <v>153802.53</v>
      </c>
      <c r="C19" s="5">
        <f>VLOOKUP(Table23578[[#This Row],[TEOs]],'1.1'!$A:$B,2,FALSE)</f>
        <v>160793.55434407803</v>
      </c>
      <c r="D19" s="10">
        <f>Table23578[[#This Row],[QE Final 
2015]]-Table23578[[#This Row],[QE Final 
2014]]</f>
        <v>6991.0243440780323</v>
      </c>
      <c r="E19" s="9">
        <f>Table23578[[#This Row],[Change($)]]/Table23578[[#This Row],[QE Final 
2014]]</f>
        <v>4.5454547100610324E-2</v>
      </c>
    </row>
    <row r="20" spans="1:5" x14ac:dyDescent="0.2">
      <c r="A20" s="4" t="s">
        <v>18</v>
      </c>
      <c r="B20" s="5">
        <f>VLOOKUP(Table23578[[#This Row],[TEOs]],'[2]1.1'!$A:$B,2,FALSE)</f>
        <v>145982.06</v>
      </c>
      <c r="C20" s="5">
        <f>VLOOKUP(Table23578[[#This Row],[TEOs]],'1.1'!$A:$B,2,FALSE)</f>
        <v>152617.61090285372</v>
      </c>
      <c r="D20" s="10">
        <f>Table23578[[#This Row],[QE Final 
2015]]-Table23578[[#This Row],[QE Final 
2014]]</f>
        <v>6635.5509028537199</v>
      </c>
      <c r="E20" s="9">
        <f>Table23578[[#This Row],[Change($)]]/Table23578[[#This Row],[QE Final 
2014]]</f>
        <v>4.5454564094065529E-2</v>
      </c>
    </row>
    <row r="21" spans="1:5" x14ac:dyDescent="0.2">
      <c r="A21" s="18" t="s">
        <v>40</v>
      </c>
      <c r="B21" s="5">
        <f>VLOOKUP(Table23578[[#This Row],[TEOs]],'[2]1.1'!$A:$B,2,FALSE)</f>
        <v>145069.67000000001</v>
      </c>
      <c r="C21" s="5">
        <f>VLOOKUP(Table23578[[#This Row],[TEOs]],'1.1'!$A:$B,2,FALSE)</f>
        <v>151663.7508347109</v>
      </c>
      <c r="D21" s="10">
        <f>Table23578[[#This Row],[QE Final 
2015]]-Table23578[[#This Row],[QE Final 
2014]]</f>
        <v>6594.0808347108832</v>
      </c>
      <c r="E21" s="9">
        <f>Table23578[[#This Row],[Change($)]]/Table23578[[#This Row],[QE Final 
2014]]</f>
        <v>4.5454579408024318E-2</v>
      </c>
    </row>
    <row r="22" spans="1:5" x14ac:dyDescent="0.2">
      <c r="A22" s="4" t="s">
        <v>17</v>
      </c>
      <c r="B22" s="5">
        <f>VLOOKUP(Table23578[[#This Row],[TEOs]],'[2]1.1'!$A:$B,2,FALSE)</f>
        <v>143244.9</v>
      </c>
      <c r="C22" s="5">
        <f>VLOOKUP(Table23578[[#This Row],[TEOs]],'1.1'!$A:$B,2,FALSE)</f>
        <v>149756.03069842519</v>
      </c>
      <c r="D22" s="10">
        <f>Table23578[[#This Row],[QE Final 
2015]]-Table23578[[#This Row],[QE Final 
2014]]</f>
        <v>6511.1306984252005</v>
      </c>
      <c r="E22" s="9">
        <f>Table23578[[#This Row],[Change($)]]/Table23578[[#This Row],[QE Final 
2014]]</f>
        <v>4.5454537637467027E-2</v>
      </c>
    </row>
    <row r="23" spans="1:5" x14ac:dyDescent="0.2">
      <c r="A23" s="4" t="s">
        <v>41</v>
      </c>
      <c r="B23" s="5">
        <f>VLOOKUP(Table23578[[#This Row],[TEOs]],'[2]1.1'!$A:$B,2,FALSE)</f>
        <v>116133.94</v>
      </c>
      <c r="C23" s="5">
        <f>VLOOKUP(Table23578[[#This Row],[TEOs]],'1.1'!$A:$B,2,FALSE)</f>
        <v>121412.76010218094</v>
      </c>
      <c r="D23" s="10">
        <f>Table23578[[#This Row],[QE Final 
2015]]-Table23578[[#This Row],[QE Final 
2014]]</f>
        <v>5278.8201021809364</v>
      </c>
      <c r="E23" s="9">
        <f>Table23578[[#This Row],[Change($)]]/Table23578[[#This Row],[QE Final 
2014]]</f>
        <v>4.5454585474159717E-2</v>
      </c>
    </row>
    <row r="24" spans="1:5" x14ac:dyDescent="0.2">
      <c r="A24" s="4" t="s">
        <v>22</v>
      </c>
      <c r="B24" s="5">
        <f>VLOOKUP(Table23578[[#This Row],[TEOs]],'[2]1.1'!$A:$B,2,FALSE)</f>
        <v>94497.32</v>
      </c>
      <c r="C24" s="5">
        <f>VLOOKUP(Table23578[[#This Row],[TEOs]],'1.1'!$A:$B,2,FALSE)</f>
        <v>98792.649914793714</v>
      </c>
      <c r="D24" s="10">
        <f>Table23578[[#This Row],[QE Final 
2015]]-Table23578[[#This Row],[QE Final 
2014]]</f>
        <v>4295.3299147937068</v>
      </c>
      <c r="E24" s="9">
        <f>Table23578[[#This Row],[Change($)]]/Table23578[[#This Row],[QE Final 
2014]]</f>
        <v>4.5454515692018638E-2</v>
      </c>
    </row>
    <row r="25" spans="1:5" x14ac:dyDescent="0.2">
      <c r="A25" s="4" t="s">
        <v>21</v>
      </c>
      <c r="B25" s="5">
        <f>VLOOKUP(Table23578[[#This Row],[TEOs]],'[2]1.1'!$A:$B,2,FALSE)</f>
        <v>67777.39</v>
      </c>
      <c r="C25" s="5">
        <f>VLOOKUP(Table23578[[#This Row],[TEOs]],'1.1'!$A:$B,2,FALSE)</f>
        <v>70858.176490610655</v>
      </c>
      <c r="D25" s="10">
        <f>Table23578[[#This Row],[QE Final 
2015]]-Table23578[[#This Row],[QE Final 
2014]]</f>
        <v>3080.7864906106552</v>
      </c>
      <c r="E25" s="9">
        <f>Table23578[[#This Row],[Change($)]]/Table23578[[#This Row],[QE Final 
2014]]</f>
        <v>4.5454486969926919E-2</v>
      </c>
    </row>
    <row r="26" spans="1:5" x14ac:dyDescent="0.2">
      <c r="A26" s="4" t="s">
        <v>23</v>
      </c>
      <c r="B26" s="5">
        <f>VLOOKUP(Table23578[[#This Row],[TEOs]],'[2]1.1'!$A:$B,2,FALSE)</f>
        <v>48877.919999999998</v>
      </c>
      <c r="C26" s="5">
        <f>VLOOKUP(Table23578[[#This Row],[TEOs]],'1.1'!$A:$B,2,FALSE)</f>
        <v>51099.646507651909</v>
      </c>
      <c r="D26" s="10">
        <f>Table23578[[#This Row],[QE Final 
2015]]-Table23578[[#This Row],[QE Final 
2014]]</f>
        <v>2221.7265076519107</v>
      </c>
      <c r="E26" s="9">
        <f>Table23578[[#This Row],[Change($)]]/Table23578[[#This Row],[QE Final 
2014]]</f>
        <v>4.545460419862201E-2</v>
      </c>
    </row>
    <row r="27" spans="1:5" x14ac:dyDescent="0.2">
      <c r="A27" s="4" t="s">
        <v>25</v>
      </c>
      <c r="B27" s="5">
        <f>VLOOKUP(Table23578[[#This Row],[TEOs]],'[2]1.1'!$A:$B,2,FALSE)</f>
        <v>37798.93</v>
      </c>
      <c r="C27" s="5">
        <f>VLOOKUP(Table23578[[#This Row],[TEOs]],'1.1'!$A:$B,2,FALSE)</f>
        <v>39517.059965917484</v>
      </c>
      <c r="D27" s="10">
        <f>Table23578[[#This Row],[QE Final 
2015]]-Table23578[[#This Row],[QE Final 
2014]]</f>
        <v>1718.1299659174838</v>
      </c>
      <c r="E27" s="9">
        <f>Table23578[[#This Row],[Change($)]]/Table23578[[#This Row],[QE Final 
2014]]</f>
        <v>4.5454460375399089E-2</v>
      </c>
    </row>
    <row r="28" spans="1:5" x14ac:dyDescent="0.2">
      <c r="A28" s="4" t="s">
        <v>42</v>
      </c>
      <c r="B28" s="5">
        <f>VLOOKUP(Table23578[[#This Row],[TEOs]],'[2]1.1'!$A:$B,2,FALSE)</f>
        <v>26068.23</v>
      </c>
      <c r="C28" s="5">
        <f>VLOOKUP(Table23578[[#This Row],[TEOs]],'1.1'!$A:$B,2,FALSE)</f>
        <v>27253.144804081021</v>
      </c>
      <c r="D28" s="10">
        <f>Table23578[[#This Row],[QE Final 
2015]]-Table23578[[#This Row],[QE Final 
2014]]</f>
        <v>1184.9148040810214</v>
      </c>
      <c r="E28" s="9">
        <f>Table23578[[#This Row],[Change($)]]/Table23578[[#This Row],[QE Final 
2014]]</f>
        <v>4.5454363571328836E-2</v>
      </c>
    </row>
    <row r="29" spans="1:5" x14ac:dyDescent="0.2">
      <c r="A29" s="4" t="s">
        <v>24</v>
      </c>
      <c r="B29" s="5">
        <f>VLOOKUP(Table23578[[#This Row],[TEOs]],'[2]1.1'!$A:$B,2,FALSE)</f>
        <v>19551.169999999998</v>
      </c>
      <c r="C29" s="5">
        <f>VLOOKUP(Table23578[[#This Row],[TEOs]],'1.1'!$A:$B,2,FALSE)</f>
        <v>20439.858603060766</v>
      </c>
      <c r="D29" s="10">
        <f>Table23578[[#This Row],[QE Final 
2015]]-Table23578[[#This Row],[QE Final 
2014]]</f>
        <v>888.68860306076749</v>
      </c>
      <c r="E29" s="9">
        <f>Table23578[[#This Row],[Change($)]]/Table23578[[#This Row],[QE Final 
2014]]</f>
        <v>4.5454497253144828E-2</v>
      </c>
    </row>
    <row r="30" spans="1:5" x14ac:dyDescent="0.2">
      <c r="A30" s="4" t="s">
        <v>43</v>
      </c>
      <c r="B30" s="5">
        <f>VLOOKUP(Table23578[[#This Row],[TEOs]],'[2]1.1'!$A:$B,2,FALSE)</f>
        <v>19551.169999999998</v>
      </c>
      <c r="C30" s="5">
        <f>VLOOKUP(Table23578[[#This Row],[TEOs]],'1.1'!$A:$B,2,FALSE)</f>
        <v>20439.858603060766</v>
      </c>
      <c r="D30" s="10">
        <f>Table23578[[#This Row],[QE Final 
2015]]-Table23578[[#This Row],[QE Final 
2014]]</f>
        <v>888.68860306076749</v>
      </c>
      <c r="E30" s="9">
        <f>Table23578[[#This Row],[Change($)]]/Table23578[[#This Row],[QE Final 
2014]]</f>
        <v>4.5454497253144828E-2</v>
      </c>
    </row>
    <row r="31" spans="1:5" x14ac:dyDescent="0.2">
      <c r="A31" s="4" t="s">
        <v>26</v>
      </c>
      <c r="B31" s="5">
        <f>VLOOKUP(Table23578[[#This Row],[TEOs]],'[2]1.1'!$A:$B,2,FALSE)</f>
        <v>13034.11</v>
      </c>
      <c r="C31" s="5">
        <f>VLOOKUP(Table23578[[#This Row],[TEOs]],'1.1'!$A:$B,2,FALSE)</f>
        <v>13626.57240204051</v>
      </c>
      <c r="D31" s="10">
        <f>Table23578[[#This Row],[QE Final 
2015]]-Table23578[[#This Row],[QE Final 
2014]]</f>
        <v>592.46240204050991</v>
      </c>
      <c r="E31" s="9">
        <f>Table23578[[#This Row],[Change($)]]/Table23578[[#This Row],[QE Final 
2014]]</f>
        <v>4.5454764616879091E-2</v>
      </c>
    </row>
    <row r="32" spans="1:5" x14ac:dyDescent="0.2">
      <c r="A32" s="7" t="s">
        <v>27</v>
      </c>
      <c r="B32" s="6">
        <f>SUBTOTAL(109,B5:B31)</f>
        <v>164999999.9799999</v>
      </c>
      <c r="C32" s="6">
        <f>SUBTOTAL(109,C5:C31)</f>
        <v>172500000.00000003</v>
      </c>
      <c r="D32" s="11">
        <f>SUBTOTAL(109,D5:D31)</f>
        <v>7500000.0200000145</v>
      </c>
      <c r="E32" s="14">
        <f>Table23578[[#This Row],[Change($)]]/Table23578[[#This Row],[QE Final 
2014]]</f>
        <v>4.5454545581267332E-2</v>
      </c>
    </row>
  </sheetData>
  <pageMargins left="0.70866141732283472" right="0.70866141732283472" top="0.74803149606299213" bottom="0.74803149606299213" header="0.31496062992125984" footer="0.31496062992125984"/>
  <pageSetup paperSize="9" scale="8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workbookViewId="0">
      <selection activeCell="D15" sqref="D15:D16"/>
    </sheetView>
  </sheetViews>
  <sheetFormatPr defaultRowHeight="15" x14ac:dyDescent="0.2"/>
  <cols>
    <col min="1" max="1" width="30.88671875" bestFit="1" customWidth="1"/>
    <col min="2" max="5" width="15.77734375" customWidth="1"/>
  </cols>
  <sheetData>
    <row r="2" spans="1:6" ht="15.75" x14ac:dyDescent="0.25">
      <c r="A2" s="1" t="s">
        <v>167</v>
      </c>
      <c r="F2" s="2" t="s">
        <v>0</v>
      </c>
    </row>
    <row r="4" spans="1:6" ht="47.25" customHeight="1" x14ac:dyDescent="0.2">
      <c r="A4" s="3" t="s">
        <v>2</v>
      </c>
      <c r="B4" s="3" t="s">
        <v>32</v>
      </c>
      <c r="C4" s="3" t="s">
        <v>168</v>
      </c>
      <c r="D4" s="3" t="s">
        <v>169</v>
      </c>
      <c r="E4" s="3" t="s">
        <v>30</v>
      </c>
    </row>
    <row r="5" spans="1:6" x14ac:dyDescent="0.2">
      <c r="A5" s="4" t="s">
        <v>6</v>
      </c>
      <c r="B5" s="9">
        <f>Table23578910[[#This Row],[Final QE 
funding 2015]]/$C$32</f>
        <v>0.28301799340972406</v>
      </c>
      <c r="C5" s="5">
        <f>VLOOKUP(Table23578910[[#This Row],[TEOs]],'1.1'!$A:$B,2,FALSE)</f>
        <v>48820603.863177411</v>
      </c>
      <c r="D5" s="5">
        <f>VLOOKUP(Table23578910[[#This Row],[TEOs]],'1.4'!$A:$F,2,FALSE)</f>
        <v>46697968.912604481</v>
      </c>
      <c r="E5" s="10">
        <f>Table23578910[[#This Row],[Indicative QE funding 2016]]-Table23578910[[#This Row],[Final QE 
funding 2015]]</f>
        <v>-2122634.9505729303</v>
      </c>
    </row>
    <row r="6" spans="1:6" x14ac:dyDescent="0.2">
      <c r="A6" s="4" t="s">
        <v>38</v>
      </c>
      <c r="B6" s="9">
        <f>Table23578910[[#This Row],[Final QE 
funding 2015]]/$C$32</f>
        <v>0.21366091486861408</v>
      </c>
      <c r="C6" s="5">
        <f>VLOOKUP(Table23578910[[#This Row],[TEOs]],'1.1'!$A:$B,2,FALSE)</f>
        <v>36856507.814835936</v>
      </c>
      <c r="D6" s="5">
        <f>VLOOKUP(Table23578910[[#This Row],[TEOs]],'1.4'!$A:$F,2,FALSE)</f>
        <v>35254050.95332133</v>
      </c>
      <c r="E6" s="10">
        <f>Table23578910[[#This Row],[Indicative QE funding 2016]]-Table23578910[[#This Row],[Final QE 
funding 2015]]</f>
        <v>-1602456.8615146056</v>
      </c>
    </row>
    <row r="7" spans="1:6" x14ac:dyDescent="0.2">
      <c r="A7" s="4" t="s">
        <v>7</v>
      </c>
      <c r="B7" s="9">
        <f>Table23578910[[#This Row],[Final QE 
funding 2015]]/$C$32</f>
        <v>0.14008045030311811</v>
      </c>
      <c r="C7" s="5">
        <f>VLOOKUP(Table23578910[[#This Row],[TEOs]],'1.1'!$A:$B,2,FALSE)</f>
        <v>24163877.67728788</v>
      </c>
      <c r="D7" s="5">
        <f>VLOOKUP(Table23578910[[#This Row],[TEOs]],'1.4'!$A:$F,2,FALSE)</f>
        <v>23113274.300014492</v>
      </c>
      <c r="E7" s="10">
        <f>Table23578910[[#This Row],[Indicative QE funding 2016]]-Table23578910[[#This Row],[Final QE 
funding 2015]]</f>
        <v>-1050603.3772733882</v>
      </c>
    </row>
    <row r="8" spans="1:6" x14ac:dyDescent="0.2">
      <c r="A8" s="4" t="s">
        <v>8</v>
      </c>
      <c r="B8" s="9">
        <f>Table23578910[[#This Row],[Final QE 
funding 2015]]/$C$32</f>
        <v>0.10256451148721935</v>
      </c>
      <c r="C8" s="5">
        <f>VLOOKUP(Table23578910[[#This Row],[TEOs]],'1.1'!$A:$B,2,FALSE)</f>
        <v>17692378.23154534</v>
      </c>
      <c r="D8" s="5">
        <f>VLOOKUP(Table23578910[[#This Row],[TEOs]],'1.4'!$A:$F,2,FALSE)</f>
        <v>16923144.395391196</v>
      </c>
      <c r="E8" s="10">
        <f>Table23578910[[#This Row],[Indicative QE funding 2016]]-Table23578910[[#This Row],[Final QE 
funding 2015]]</f>
        <v>-769233.83615414426</v>
      </c>
    </row>
    <row r="9" spans="1:6" x14ac:dyDescent="0.2">
      <c r="A9" s="4" t="s">
        <v>37</v>
      </c>
      <c r="B9" s="9">
        <f>Table23578910[[#This Row],[Final QE 
funding 2015]]/$C$32</f>
        <v>9.7422224870031923E-2</v>
      </c>
      <c r="C9" s="5">
        <f>VLOOKUP(Table23578910[[#This Row],[TEOs]],'1.1'!$A:$B,2,FALSE)</f>
        <v>16805333.79008051</v>
      </c>
      <c r="D9" s="5">
        <f>VLOOKUP(Table23578910[[#This Row],[TEOs]],'1.4'!$A:$F,2,FALSE)</f>
        <v>16074667.103555271</v>
      </c>
      <c r="E9" s="10">
        <f>Table23578910[[#This Row],[Indicative QE funding 2016]]-Table23578910[[#This Row],[Final QE 
funding 2015]]</f>
        <v>-730666.68652523868</v>
      </c>
    </row>
    <row r="10" spans="1:6" x14ac:dyDescent="0.2">
      <c r="A10" s="4" t="s">
        <v>9</v>
      </c>
      <c r="B10" s="9">
        <f>Table23578910[[#This Row],[Final QE 
funding 2015]]/$C$32</f>
        <v>5.4315126571151506E-2</v>
      </c>
      <c r="C10" s="5">
        <f>VLOOKUP(Table23578910[[#This Row],[TEOs]],'1.1'!$A:$B,2,FALSE)</f>
        <v>9369359.3335236367</v>
      </c>
      <c r="D10" s="5">
        <f>VLOOKUP(Table23578910[[#This Row],[TEOs]],'1.4'!$A:$F,2,FALSE)</f>
        <v>8961995.8842399996</v>
      </c>
      <c r="E10" s="10">
        <f>Table23578910[[#This Row],[Indicative QE funding 2016]]-Table23578910[[#This Row],[Final QE 
funding 2015]]</f>
        <v>-407363.44928363711</v>
      </c>
    </row>
    <row r="11" spans="1:6" x14ac:dyDescent="0.2">
      <c r="A11" s="4" t="s">
        <v>11</v>
      </c>
      <c r="B11" s="9">
        <f>Table23578910[[#This Row],[Final QE 
funding 2015]]/$C$32</f>
        <v>4.8661892202238183E-2</v>
      </c>
      <c r="C11" s="5">
        <f>VLOOKUP(Table23578910[[#This Row],[TEOs]],'1.1'!$A:$B,2,FALSE)</f>
        <v>8394176.4048860874</v>
      </c>
      <c r="D11" s="5">
        <f>VLOOKUP(Table23578910[[#This Row],[TEOs]],'1.4'!$A:$F,2,FALSE)</f>
        <v>8029212.2133693006</v>
      </c>
      <c r="E11" s="10">
        <f>Table23578910[[#This Row],[Indicative QE funding 2016]]-Table23578910[[#This Row],[Final QE 
funding 2015]]</f>
        <v>-364964.19151678681</v>
      </c>
    </row>
    <row r="12" spans="1:6" x14ac:dyDescent="0.2">
      <c r="A12" s="4" t="s">
        <v>10</v>
      </c>
      <c r="B12" s="9">
        <f>Table23578910[[#This Row],[Final QE 
funding 2015]]/$C$32</f>
        <v>2.7202193272490773E-2</v>
      </c>
      <c r="C12" s="5">
        <f>VLOOKUP(Table23578910[[#This Row],[TEOs]],'1.1'!$A:$B,2,FALSE)</f>
        <v>4692378.3395046592</v>
      </c>
      <c r="D12" s="5">
        <f>VLOOKUP(Table23578910[[#This Row],[TEOs]],'1.4'!$A:$F,2,FALSE)</f>
        <v>4488361.8899609782</v>
      </c>
      <c r="E12" s="10">
        <f>Table23578910[[#This Row],[Indicative QE funding 2016]]-Table23578910[[#This Row],[Final QE 
funding 2015]]</f>
        <v>-204016.449543681</v>
      </c>
    </row>
    <row r="13" spans="1:6" x14ac:dyDescent="0.2">
      <c r="A13" s="4" t="s">
        <v>12</v>
      </c>
      <c r="B13" s="9">
        <f>Table23578910[[#This Row],[Final QE 
funding 2015]]/$C$32</f>
        <v>1.2356931329972129E-2</v>
      </c>
      <c r="C13" s="5">
        <f>VLOOKUP(Table23578910[[#This Row],[TEOs]],'1.1'!$A:$B,2,FALSE)</f>
        <v>2131570.6544201928</v>
      </c>
      <c r="D13" s="5">
        <f>VLOOKUP(Table23578910[[#This Row],[TEOs]],'1.4'!$A:$F,2,FALSE)</f>
        <v>2038893.6694454015</v>
      </c>
      <c r="E13" s="10">
        <f>Table23578910[[#This Row],[Indicative QE funding 2016]]-Table23578910[[#This Row],[Final QE 
funding 2015]]</f>
        <v>-92676.984974791296</v>
      </c>
    </row>
    <row r="14" spans="1:6" x14ac:dyDescent="0.2">
      <c r="A14" s="4" t="s">
        <v>14</v>
      </c>
      <c r="B14" s="9">
        <f>Table23578910[[#This Row],[Final QE 
funding 2015]]/$C$32</f>
        <v>5.042858718849054E-3</v>
      </c>
      <c r="C14" s="5">
        <f>VLOOKUP(Table23578910[[#This Row],[TEOs]],'1.1'!$A:$B,2,FALSE)</f>
        <v>869893.1290014619</v>
      </c>
      <c r="D14" s="5">
        <f>VLOOKUP(Table23578910[[#This Row],[TEOs]],'1.4'!$A:$F,2,FALSE)</f>
        <v>832071.68861009402</v>
      </c>
      <c r="E14" s="10">
        <f>Table23578910[[#This Row],[Indicative QE funding 2016]]-Table23578910[[#This Row],[Final QE 
funding 2015]]</f>
        <v>-37821.440391367883</v>
      </c>
    </row>
    <row r="15" spans="1:6" x14ac:dyDescent="0.2">
      <c r="A15" s="4" t="s">
        <v>19</v>
      </c>
      <c r="B15" s="9">
        <f>Table23578910[[#This Row],[Final QE 
funding 2015]]/$C$32</f>
        <v>2.7551349504473495E-3</v>
      </c>
      <c r="C15" s="5">
        <f>VLOOKUP(Table23578910[[#This Row],[TEOs]],'1.1'!$A:$B,2,FALSE)</f>
        <v>475260.77895216789</v>
      </c>
      <c r="D15" s="5">
        <f>VLOOKUP(Table23578910[[#This Row],[TEOs]],'1.4'!$A:$F,2,FALSE)</f>
        <v>454597.26682381274</v>
      </c>
      <c r="E15" s="10">
        <f>Table23578910[[#This Row],[Indicative QE funding 2016]]-Table23578910[[#This Row],[Final QE 
funding 2015]]</f>
        <v>-20663.512128355156</v>
      </c>
    </row>
    <row r="16" spans="1:6" x14ac:dyDescent="0.2">
      <c r="A16" s="4" t="s">
        <v>16</v>
      </c>
      <c r="B16" s="9">
        <f>Table23578910[[#This Row],[Final QE 
funding 2015]]/$C$32</f>
        <v>2.7422983242715148E-3</v>
      </c>
      <c r="C16" s="5">
        <f>VLOOKUP(Table23578910[[#This Row],[TEOs]],'1.1'!$A:$B,2,FALSE)</f>
        <v>473046.46093683637</v>
      </c>
      <c r="D16" s="5">
        <f>VLOOKUP(Table23578910[[#This Row],[TEOs]],'1.4'!$A:$F,2,FALSE)</f>
        <v>452479.2235048</v>
      </c>
      <c r="E16" s="10">
        <f>Table23578910[[#This Row],[Indicative QE funding 2016]]-Table23578910[[#This Row],[Final QE 
funding 2015]]</f>
        <v>-20567.237432036374</v>
      </c>
    </row>
    <row r="17" spans="1:5" x14ac:dyDescent="0.2">
      <c r="A17" s="4" t="s">
        <v>15</v>
      </c>
      <c r="B17" s="9">
        <f>Table23578910[[#This Row],[Final QE 
funding 2015]]/$C$32</f>
        <v>2.2558889354856336E-3</v>
      </c>
      <c r="C17" s="5">
        <f>VLOOKUP(Table23578910[[#This Row],[TEOs]],'1.1'!$A:$B,2,FALSE)</f>
        <v>389140.84137127188</v>
      </c>
      <c r="D17" s="5">
        <f>VLOOKUP(Table23578910[[#This Row],[TEOs]],'1.4'!$A:$F,2,FALSE)</f>
        <v>372221.67435512959</v>
      </c>
      <c r="E17" s="10">
        <f>Table23578910[[#This Row],[Indicative QE funding 2016]]-Table23578910[[#This Row],[Final QE 
funding 2015]]</f>
        <v>-16919.167016142281</v>
      </c>
    </row>
    <row r="18" spans="1:5" x14ac:dyDescent="0.2">
      <c r="A18" s="4" t="s">
        <v>13</v>
      </c>
      <c r="B18" s="9">
        <f>Table23578910[[#This Row],[Final QE 
funding 2015]]/$C$32</f>
        <v>1.6707362684240971E-3</v>
      </c>
      <c r="C18" s="5">
        <f>VLOOKUP(Table23578910[[#This Row],[TEOs]],'1.1'!$A:$B,2,FALSE)</f>
        <v>288202.00630315678</v>
      </c>
      <c r="D18" s="5">
        <f>VLOOKUP(Table23578910[[#This Row],[TEOs]],'1.4'!$A:$F,2,FALSE)</f>
        <v>275671.48428997607</v>
      </c>
      <c r="E18" s="10">
        <f>Table23578910[[#This Row],[Indicative QE funding 2016]]-Table23578910[[#This Row],[Final QE 
funding 2015]]</f>
        <v>-12530.522013180715</v>
      </c>
    </row>
    <row r="19" spans="1:5" x14ac:dyDescent="0.2">
      <c r="A19" s="4" t="s">
        <v>20</v>
      </c>
      <c r="B19" s="9">
        <f>Table23578910[[#This Row],[Final QE 
funding 2015]]/$C$32</f>
        <v>9.3213654692219131E-4</v>
      </c>
      <c r="C19" s="5">
        <f>VLOOKUP(Table23578910[[#This Row],[TEOs]],'1.1'!$A:$B,2,FALSE)</f>
        <v>160793.55434407803</v>
      </c>
      <c r="D19" s="5">
        <f>VLOOKUP(Table23578910[[#This Row],[TEOs]],'1.4'!$A:$F,2,FALSE)</f>
        <v>153802.53024216159</v>
      </c>
      <c r="E19" s="10">
        <f>Table23578910[[#This Row],[Indicative QE funding 2016]]-Table23578910[[#This Row],[Final QE 
funding 2015]]</f>
        <v>-6991.0241019164387</v>
      </c>
    </row>
    <row r="20" spans="1:5" x14ac:dyDescent="0.2">
      <c r="A20" s="4" t="s">
        <v>18</v>
      </c>
      <c r="B20" s="9">
        <f>Table23578910[[#This Row],[Final QE 
funding 2015]]/$C$32</f>
        <v>8.8473977334987649E-4</v>
      </c>
      <c r="C20" s="5">
        <f>VLOOKUP(Table23578910[[#This Row],[TEOs]],'1.1'!$A:$B,2,FALSE)</f>
        <v>152617.61090285372</v>
      </c>
      <c r="D20" s="5">
        <f>VLOOKUP(Table23578910[[#This Row],[TEOs]],'1.4'!$A:$F,2,FALSE)</f>
        <v>145982.06260272962</v>
      </c>
      <c r="E20" s="10">
        <f>Table23578910[[#This Row],[Indicative QE funding 2016]]-Table23578910[[#This Row],[Final QE 
funding 2015]]</f>
        <v>-6635.5483001240937</v>
      </c>
    </row>
    <row r="21" spans="1:5" x14ac:dyDescent="0.2">
      <c r="A21" s="18" t="s">
        <v>40</v>
      </c>
      <c r="B21" s="9">
        <f>Table23578910[[#This Row],[Final QE 
funding 2015]]/$C$32</f>
        <v>8.7921014976643987E-4</v>
      </c>
      <c r="C21" s="5">
        <f>VLOOKUP(Table23578910[[#This Row],[TEOs]],'1.1'!$A:$B,2,FALSE)</f>
        <v>151663.7508347109</v>
      </c>
      <c r="D21" s="5">
        <f>VLOOKUP(Table23578910[[#This Row],[TEOs]],'1.4'!$A:$F,2,FALSE)</f>
        <v>145069.67471146261</v>
      </c>
      <c r="E21" s="10">
        <f>Table23578910[[#This Row],[Indicative QE funding 2016]]-Table23578910[[#This Row],[Final QE 
funding 2015]]</f>
        <v>-6594.076123248291</v>
      </c>
    </row>
    <row r="22" spans="1:5" x14ac:dyDescent="0.2">
      <c r="A22" s="4" t="s">
        <v>17</v>
      </c>
      <c r="B22" s="9">
        <f>Table23578910[[#This Row],[Final QE 
funding 2015]]/$C$32</f>
        <v>8.681509025995662E-4</v>
      </c>
      <c r="C22" s="5">
        <f>VLOOKUP(Table23578910[[#This Row],[TEOs]],'1.1'!$A:$B,2,FALSE)</f>
        <v>149756.03069842519</v>
      </c>
      <c r="D22" s="5">
        <f>VLOOKUP(Table23578910[[#This Row],[TEOs]],'1.4'!$A:$F,2,FALSE)</f>
        <v>143244.89892892845</v>
      </c>
      <c r="E22" s="10">
        <f>Table23578910[[#This Row],[Indicative QE funding 2016]]-Table23578910[[#This Row],[Final QE 
funding 2015]]</f>
        <v>-6511.1317694967438</v>
      </c>
    </row>
    <row r="23" spans="1:5" x14ac:dyDescent="0.2">
      <c r="A23" s="4" t="s">
        <v>41</v>
      </c>
      <c r="B23" s="9">
        <f>Table23578910[[#This Row],[Final QE 
funding 2015]]/$C$32</f>
        <v>7.0384208754887493E-4</v>
      </c>
      <c r="C23" s="5">
        <f>VLOOKUP(Table23578910[[#This Row],[TEOs]],'1.1'!$A:$B,2,FALSE)</f>
        <v>121412.76010218094</v>
      </c>
      <c r="D23" s="5">
        <f>VLOOKUP(Table23578910[[#This Row],[TEOs]],'1.4'!$A:$F,2,FALSE)</f>
        <v>116133.94444556438</v>
      </c>
      <c r="E23" s="10">
        <f>Table23578910[[#This Row],[Indicative QE funding 2016]]-Table23578910[[#This Row],[Final QE 
funding 2015]]</f>
        <v>-5278.8156566165562</v>
      </c>
    </row>
    <row r="24" spans="1:5" x14ac:dyDescent="0.2">
      <c r="A24" s="4" t="s">
        <v>22</v>
      </c>
      <c r="B24" s="9">
        <f>Table23578910[[#This Row],[Final QE 
funding 2015]]/$C$32</f>
        <v>5.7271101399880401E-4</v>
      </c>
      <c r="C24" s="5">
        <f>VLOOKUP(Table23578910[[#This Row],[TEOs]],'1.1'!$A:$B,2,FALSE)</f>
        <v>98792.649914793714</v>
      </c>
      <c r="D24" s="5">
        <f>VLOOKUP(Table23578910[[#This Row],[TEOs]],'1.4'!$A:$F,2,FALSE)</f>
        <v>94497.317309802675</v>
      </c>
      <c r="E24" s="10">
        <f>Table23578910[[#This Row],[Indicative QE funding 2016]]-Table23578910[[#This Row],[Final QE 
funding 2015]]</f>
        <v>-4295.3326049910393</v>
      </c>
    </row>
    <row r="25" spans="1:5" x14ac:dyDescent="0.2">
      <c r="A25" s="4" t="s">
        <v>21</v>
      </c>
      <c r="B25" s="9">
        <f>Table23578910[[#This Row],[Final QE 
funding 2015]]/$C$32</f>
        <v>4.1077203762672834E-4</v>
      </c>
      <c r="C25" s="5">
        <f>VLOOKUP(Table23578910[[#This Row],[TEOs]],'1.1'!$A:$B,2,FALSE)</f>
        <v>70858.176490610655</v>
      </c>
      <c r="D25" s="5">
        <f>VLOOKUP(Table23578910[[#This Row],[TEOs]],'1.4'!$A:$F,2,FALSE)</f>
        <v>67777.3862084102</v>
      </c>
      <c r="E25" s="10">
        <f>Table23578910[[#This Row],[Indicative QE funding 2016]]-Table23578910[[#This Row],[Final QE 
funding 2015]]</f>
        <v>-3080.7902822004544</v>
      </c>
    </row>
    <row r="26" spans="1:5" x14ac:dyDescent="0.2">
      <c r="A26" s="4" t="s">
        <v>23</v>
      </c>
      <c r="B26" s="9">
        <f>Table23578910[[#This Row],[Final QE 
funding 2015]]/$C$32</f>
        <v>2.9622983482696755E-4</v>
      </c>
      <c r="C26" s="5">
        <f>VLOOKUP(Table23578910[[#This Row],[TEOs]],'1.1'!$A:$B,2,FALSE)</f>
        <v>51099.646507651909</v>
      </c>
      <c r="D26" s="5">
        <f>VLOOKUP(Table23578910[[#This Row],[TEOs]],'1.4'!$A:$F,2,FALSE)</f>
        <v>48877.922746449658</v>
      </c>
      <c r="E26" s="10">
        <f>Table23578910[[#This Row],[Indicative QE funding 2016]]-Table23578910[[#This Row],[Final QE 
funding 2015]]</f>
        <v>-2221.7237612022509</v>
      </c>
    </row>
    <row r="27" spans="1:5" x14ac:dyDescent="0.2">
      <c r="A27" s="4" t="s">
        <v>25</v>
      </c>
      <c r="B27" s="9">
        <f>Table23578910[[#This Row],[Final QE 
funding 2015]]/$C$32</f>
        <v>2.2908440559952161E-4</v>
      </c>
      <c r="C27" s="5">
        <f>VLOOKUP(Table23578910[[#This Row],[TEOs]],'1.1'!$A:$B,2,FALSE)</f>
        <v>39517.059965917484</v>
      </c>
      <c r="D27" s="5">
        <f>VLOOKUP(Table23578910[[#This Row],[TEOs]],'1.4'!$A:$F,2,FALSE)</f>
        <v>37798.926923921077</v>
      </c>
      <c r="E27" s="10">
        <f>Table23578910[[#This Row],[Indicative QE funding 2016]]-Table23578910[[#This Row],[Final QE 
funding 2015]]</f>
        <v>-1718.133041996407</v>
      </c>
    </row>
    <row r="28" spans="1:5" x14ac:dyDescent="0.2">
      <c r="A28" s="4" t="s">
        <v>42</v>
      </c>
      <c r="B28" s="9">
        <f>Table23578910[[#This Row],[Final QE 
funding 2015]]/$C$32</f>
        <v>1.5798924524104937E-4</v>
      </c>
      <c r="C28" s="5">
        <f>VLOOKUP(Table23578910[[#This Row],[TEOs]],'1.1'!$A:$B,2,FALSE)</f>
        <v>27253.144804081021</v>
      </c>
      <c r="D28" s="5">
        <f>VLOOKUP(Table23578910[[#This Row],[TEOs]],'1.4'!$A:$F,2,FALSE)</f>
        <v>26068.22546477315</v>
      </c>
      <c r="E28" s="10">
        <f>Table23578910[[#This Row],[Indicative QE funding 2016]]-Table23578910[[#This Row],[Final QE 
funding 2015]]</f>
        <v>-1184.9193393078713</v>
      </c>
    </row>
    <row r="29" spans="1:5" x14ac:dyDescent="0.2">
      <c r="A29" s="4" t="s">
        <v>24</v>
      </c>
      <c r="B29" s="9">
        <f>Table23578910[[#This Row],[Final QE 
funding 2015]]/$C$32</f>
        <v>1.1849193393078702E-4</v>
      </c>
      <c r="C29" s="5">
        <f>VLOOKUP(Table23578910[[#This Row],[TEOs]],'1.1'!$A:$B,2,FALSE)</f>
        <v>20439.858603060766</v>
      </c>
      <c r="D29" s="5">
        <f>VLOOKUP(Table23578910[[#This Row],[TEOs]],'1.4'!$A:$F,2,FALSE)</f>
        <v>19551.169098579863</v>
      </c>
      <c r="E29" s="10">
        <f>Table23578910[[#This Row],[Indicative QE funding 2016]]-Table23578910[[#This Row],[Final QE 
funding 2015]]</f>
        <v>-888.68950448090254</v>
      </c>
    </row>
    <row r="30" spans="1:5" x14ac:dyDescent="0.2">
      <c r="A30" s="4" t="s">
        <v>43</v>
      </c>
      <c r="B30" s="9">
        <f>Table23578910[[#This Row],[Final QE 
funding 2015]]/$C$32</f>
        <v>1.1849193393078702E-4</v>
      </c>
      <c r="C30" s="5">
        <f>VLOOKUP(Table23578910[[#This Row],[TEOs]],'1.1'!$A:$B,2,FALSE)</f>
        <v>20439.858603060766</v>
      </c>
      <c r="D30" s="5">
        <f>VLOOKUP(Table23578910[[#This Row],[TEOs]],'1.4'!$A:$F,2,FALSE)</f>
        <v>19551.169098579863</v>
      </c>
      <c r="E30" s="10">
        <f>Table23578910[[#This Row],[Indicative QE funding 2016]]-Table23578910[[#This Row],[Final QE 
funding 2015]]</f>
        <v>-888.68950448090254</v>
      </c>
    </row>
    <row r="31" spans="1:5" x14ac:dyDescent="0.2">
      <c r="A31" s="4" t="s">
        <v>26</v>
      </c>
      <c r="B31" s="9">
        <f>Table23578910[[#This Row],[Final QE 
funding 2015]]/$C$32</f>
        <v>7.8994622620524686E-5</v>
      </c>
      <c r="C31" s="5">
        <f>VLOOKUP(Table23578910[[#This Row],[TEOs]],'1.1'!$A:$B,2,FALSE)</f>
        <v>13626.57240204051</v>
      </c>
      <c r="D31" s="5">
        <f>VLOOKUP(Table23578910[[#This Row],[TEOs]],'1.4'!$A:$F,2,FALSE)</f>
        <v>13034.112732386575</v>
      </c>
      <c r="E31" s="10">
        <f>Table23578910[[#This Row],[Indicative QE funding 2016]]-Table23578910[[#This Row],[Final QE 
funding 2015]]</f>
        <v>-592.45966965393563</v>
      </c>
    </row>
    <row r="32" spans="1:5" x14ac:dyDescent="0.2">
      <c r="A32" s="7" t="s">
        <v>27</v>
      </c>
      <c r="B32" s="37">
        <f>SUBTOTAL(109,B5:B31)</f>
        <v>0.99999999999999989</v>
      </c>
      <c r="C32" s="6">
        <f>SUBTOTAL(109,C5:C31)</f>
        <v>172500000.00000003</v>
      </c>
      <c r="D32" s="6">
        <f>SUBTOTAL(109,D5:D31)</f>
        <v>165000000.00000003</v>
      </c>
      <c r="E32" s="11">
        <f>SUBTOTAL(109,E5:E31)</f>
        <v>-7500000.0000000009</v>
      </c>
    </row>
  </sheetData>
  <pageMargins left="0.70866141732283472" right="0.70866141732283472" top="0.74803149606299213" bottom="0.74803149606299213" header="0.31496062992125984" footer="0.31496062992125984"/>
  <pageSetup paperSize="9" scale="73"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Notes</vt:lpstr>
      <vt:lpstr>Table Index</vt:lpstr>
      <vt:lpstr>1.1</vt:lpstr>
      <vt:lpstr>1.2</vt:lpstr>
      <vt:lpstr>1.3</vt:lpstr>
      <vt:lpstr>1.4</vt:lpstr>
      <vt:lpstr>1.5</vt:lpstr>
      <vt:lpstr>1.6</vt:lpstr>
      <vt:lpstr>1.7</vt:lpstr>
      <vt:lpstr>1.8</vt:lpstr>
      <vt:lpstr>1.9</vt:lpstr>
      <vt:lpstr>2.0</vt:lpstr>
      <vt:lpstr>2.1</vt:lpstr>
      <vt:lpstr>2.2</vt:lpstr>
      <vt:lpstr>2.3</vt:lpstr>
      <vt:lpstr>2.4</vt:lpstr>
      <vt:lpstr>2.6</vt:lpstr>
      <vt:lpstr>2.5</vt:lpstr>
      <vt:lpstr>2.7</vt:lpstr>
      <vt:lpstr>2.8</vt:lpstr>
      <vt:lpstr>2.9</vt:lpstr>
      <vt:lpstr>3.0</vt:lpstr>
      <vt:lpstr>3.1</vt:lpstr>
      <vt:lpstr>3.2</vt:lpstr>
      <vt:lpstr>3.3</vt:lpstr>
      <vt:lpstr>3.4</vt:lpstr>
      <vt:lpstr>3.5</vt:lpstr>
    </vt:vector>
  </TitlesOfParts>
  <Company>Tertiary Education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PBRF Allocation Tables </dc:title>
  <dc:subject>2015 PBRF Allocation Tables </dc:subject>
  <dc:creator>TEC</dc:creator>
  <cp:lastModifiedBy>Catherine Young</cp:lastModifiedBy>
  <cp:lastPrinted>2014-01-27T22:25:25Z</cp:lastPrinted>
  <dcterms:created xsi:type="dcterms:W3CDTF">2013-01-31T01:18:16Z</dcterms:created>
  <dcterms:modified xsi:type="dcterms:W3CDTF">2017-03-15T23:37:48Z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A1056875</vt:lpwstr>
  </property>
  <property fmtid="{D5CDD505-2E9C-101B-9397-08002B2CF9AE}" pid="4" name="Objective-Title">
    <vt:lpwstr>2015 PBRF tables.xlsx</vt:lpwstr>
  </property>
  <property fmtid="{D5CDD505-2E9C-101B-9397-08002B2CF9AE}" pid="5" name="Objective-Comment">
    <vt:lpwstr/>
  </property>
  <property fmtid="{D5CDD505-2E9C-101B-9397-08002B2CF9AE}" pid="6" name="Objective-CreationStamp">
    <vt:filetime>2017-03-03T00:07:17Z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2017-03-15T23:17:36Z</vt:filetime>
  </property>
  <property fmtid="{D5CDD505-2E9C-101B-9397-08002B2CF9AE}" pid="10" name="Objective-ModificationStamp">
    <vt:filetime>2017-03-15T23:17:38Z</vt:filetime>
  </property>
  <property fmtid="{D5CDD505-2E9C-101B-9397-08002B2CF9AE}" pid="11" name="Objective-Owner">
    <vt:lpwstr>Colin Everson</vt:lpwstr>
  </property>
  <property fmtid="{D5CDD505-2E9C-101B-9397-08002B2CF9AE}" pid="12" name="Objective-Path">
    <vt:lpwstr>Objective Global Folder:TEC Global Folder:Governance:Organisation Structure:Tertiary Network (temporary structure):Network Services:Network Services - Tertiary Network:Tertiary Performance and Reporting Team:PBRF Annual Report - Tertiary Performance and R</vt:lpwstr>
  </property>
  <property fmtid="{D5CDD505-2E9C-101B-9397-08002B2CF9AE}" pid="13" name="Objective-Parent">
    <vt:lpwstr>PBRF Annual Report - Tertiary Performance and Reporting Team</vt:lpwstr>
  </property>
  <property fmtid="{D5CDD505-2E9C-101B-9397-08002B2CF9AE}" pid="14" name="Objective-State">
    <vt:lpwstr>Published</vt:lpwstr>
  </property>
  <property fmtid="{D5CDD505-2E9C-101B-9397-08002B2CF9AE}" pid="15" name="Objective-Version">
    <vt:lpwstr>12.0</vt:lpwstr>
  </property>
  <property fmtid="{D5CDD505-2E9C-101B-9397-08002B2CF9AE}" pid="16" name="Objective-VersionNumber">
    <vt:r8>15</vt:r8>
  </property>
  <property fmtid="{D5CDD505-2E9C-101B-9397-08002B2CF9AE}" pid="17" name="Objective-VersionComment">
    <vt:lpwstr>Restored version 10.0</vt:lpwstr>
  </property>
  <property fmtid="{D5CDD505-2E9C-101B-9397-08002B2CF9AE}" pid="18" name="Objective-FileNumber">
    <vt:lpwstr>GV-S-XX-XX-XX/09-6387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ies>
</file>